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omarova-sv\AppData\Local\Microsoft\Windows\Temporary Internet Files\Content.Outlook\2WJAJVM7\"/>
    </mc:Choice>
  </mc:AlternateContent>
  <bookViews>
    <workbookView xWindow="-15" yWindow="45" windowWidth="12720" windowHeight="12480"/>
  </bookViews>
  <sheets>
    <sheet name="Лист1" sheetId="1" r:id="rId1"/>
    <sheet name="Лист2" sheetId="4" r:id="rId2"/>
    <sheet name="Лист3" sheetId="5" r:id="rId3"/>
  </sheets>
  <externalReferences>
    <externalReference r:id="rId4"/>
  </externalReferences>
  <definedNames>
    <definedName name="DataBeg">[1]Лист1!#REF!</definedName>
    <definedName name="Z_39517F40_2AF1_49F4_96F9_2468F10D4E45_.wvu.Rows" localSheetId="0" hidden="1">Лист1!$2:$15</definedName>
    <definedName name="Z_D5B4A071_9430_4BA5_A770_68DFFD853119_.wvu.Rows" localSheetId="0" hidden="1">Лист1!$1:$15</definedName>
  </definedNames>
  <calcPr calcId="152511"/>
  <customWorkbookViews>
    <customWorkbookView name="Лейко Роман - Личное представление" guid="{D5B4A071-9430-4BA5-A770-68DFFD853119}" mergeInterval="0" personalView="1" maximized="1" windowWidth="1676" windowHeight="835" activeSheetId="1"/>
    <customWorkbookView name="mihaylova-sv - Личное представление" guid="{2491A07A-E2FE-4F26-90A4-8AC67869991B}" mergeInterval="0" personalView="1" maximized="1" xWindow="1" yWindow="1" windowWidth="1280" windowHeight="804" activeSheetId="1"/>
    <customWorkbookView name="tstest - Личное представление" guid="{15EC13F9-3954-402E-9615-170F49599A0D}" mergeInterval="0" personalView="1" maximized="1" xWindow="1" yWindow="1" windowWidth="1276" windowHeight="806" activeSheetId="1"/>
    <customWorkbookView name="Сысоева Юлия - Личное представление" guid="{CC220046-4AA5-4296-A4F1-13F7CCCA15D7}" mergeInterval="0" personalView="1" maximized="1" windowWidth="1676" windowHeight="834" activeSheetId="1"/>
    <customWorkbookView name="Онищенко Марина - Личное представление" guid="{39517F40-2AF1-49F4-96F9-2468F10D4E45}" mergeInterval="0" personalView="1" maximized="1" windowWidth="1676" windowHeight="835" activeSheetId="1"/>
  </customWorkbookViews>
</workbook>
</file>

<file path=xl/calcChain.xml><?xml version="1.0" encoding="utf-8"?>
<calcChain xmlns="http://schemas.openxmlformats.org/spreadsheetml/2006/main">
  <c r="K30" i="1" l="1"/>
  <c r="K80" i="1" l="1"/>
  <c r="K41" i="1" l="1"/>
  <c r="K86" i="1"/>
  <c r="K37" i="1"/>
  <c r="K27" i="1"/>
  <c r="K25" i="1" l="1"/>
  <c r="K103" i="1"/>
  <c r="K79" i="1"/>
  <c r="K74" i="1"/>
  <c r="K100" i="1"/>
  <c r="K95" i="1"/>
  <c r="K44" i="1"/>
  <c r="K42" i="1"/>
  <c r="K92" i="1"/>
  <c r="K57" i="1"/>
  <c r="K91" i="1"/>
  <c r="K38" i="1" l="1"/>
  <c r="K67" i="1"/>
  <c r="H67" i="1"/>
  <c r="K47" i="1" l="1"/>
  <c r="K60" i="1"/>
  <c r="K76" i="1"/>
  <c r="K24" i="1"/>
  <c r="K84" i="1"/>
  <c r="K46" i="1"/>
  <c r="K83" i="1"/>
  <c r="K66" i="1"/>
  <c r="K75" i="1"/>
  <c r="K65" i="1"/>
  <c r="K45" i="1"/>
  <c r="K64" i="1"/>
  <c r="K101" i="1"/>
  <c r="K82" i="1"/>
  <c r="K81" i="1"/>
  <c r="K88" i="1"/>
  <c r="K98" i="1"/>
  <c r="K32" i="1"/>
  <c r="K31" i="1"/>
  <c r="K48" i="1"/>
  <c r="K73" i="1"/>
  <c r="K36" i="1"/>
  <c r="K35" i="1"/>
  <c r="K34" i="1"/>
  <c r="K33" i="1"/>
  <c r="K40" i="1"/>
  <c r="K39" i="1"/>
  <c r="K49" i="1"/>
  <c r="K63" i="1"/>
  <c r="K62" i="1"/>
  <c r="K52" i="1"/>
  <c r="K51" i="1"/>
  <c r="K50" i="1"/>
  <c r="K61" i="1"/>
  <c r="K53" i="1"/>
  <c r="K70" i="1"/>
  <c r="K54" i="1"/>
  <c r="K94" i="1"/>
  <c r="K93" i="1"/>
  <c r="K59" i="1"/>
  <c r="K55" i="1"/>
  <c r="K71" i="1"/>
  <c r="K69" i="1"/>
  <c r="K68" i="1"/>
  <c r="K56" i="1"/>
  <c r="H53" i="1" l="1"/>
</calcChain>
</file>

<file path=xl/sharedStrings.xml><?xml version="1.0" encoding="utf-8"?>
<sst xmlns="http://schemas.openxmlformats.org/spreadsheetml/2006/main" count="599" uniqueCount="190">
  <si>
    <t>Порядковый номер</t>
  </si>
  <si>
    <t>Код по ОКВЭД</t>
  </si>
  <si>
    <t>Код по ОКДП</t>
  </si>
  <si>
    <t>предмет договора</t>
  </si>
  <si>
    <t>минимально необходимые требования, предъявляемые к закупаемым товарам (работам, услугам)</t>
  </si>
  <si>
    <t>Условия договора</t>
  </si>
  <si>
    <t>единица измерения</t>
  </si>
  <si>
    <t>код по ОКЕИ</t>
  </si>
  <si>
    <t>наименование</t>
  </si>
  <si>
    <t>сведения о количестве (объеме)</t>
  </si>
  <si>
    <t>регион поставки товаров (выполнения работ, оказания услуг)</t>
  </si>
  <si>
    <t>код по ОКАТО</t>
  </si>
  <si>
    <t>сведения о начальной (максимальной) цене договора (цене лота)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</si>
  <si>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</si>
  <si>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</si>
  <si>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срок исполнения договора (месяц, год)</t>
  </si>
  <si>
    <t>Способ закупки</t>
  </si>
  <si>
    <t>Закупка в электронной форме</t>
  </si>
  <si>
    <t>да/нет</t>
  </si>
  <si>
    <t>Шины</t>
  </si>
  <si>
    <t>Самара</t>
  </si>
  <si>
    <t>Самарская обл.</t>
  </si>
  <si>
    <t>шт</t>
  </si>
  <si>
    <t>Гарантия качества, сроки поставки</t>
  </si>
  <si>
    <t xml:space="preserve">Мед. осмотры персонала </t>
  </si>
  <si>
    <t>чел.</t>
  </si>
  <si>
    <t>аудит РСБУ</t>
  </si>
  <si>
    <t>положительная деловая репутация компании,оптимальное соотношение цены и качества</t>
  </si>
  <si>
    <t>перевод РСБУ на МСФО</t>
  </si>
  <si>
    <t>Аудит МСФО</t>
  </si>
  <si>
    <t>офисное помещение, ремонт, центр города</t>
  </si>
  <si>
    <t>055</t>
  </si>
  <si>
    <t>кв.м</t>
  </si>
  <si>
    <t>Договор аренды Административного здания</t>
  </si>
  <si>
    <t>Нефтегорск</t>
  </si>
  <si>
    <t>Договор аренды нежилых помещений</t>
  </si>
  <si>
    <t>Приобретение гаража на 4 автомобиля для Клявлинского отделения</t>
  </si>
  <si>
    <t>Приобретение административного здания для Нефтегорского отделения</t>
  </si>
  <si>
    <t>36 401 5</t>
  </si>
  <si>
    <t>шт.</t>
  </si>
  <si>
    <t>Капитальный ремонт Приволжского отд.</t>
  </si>
  <si>
    <t>Капитальный ремонт Челно-Вершинского отд.</t>
  </si>
  <si>
    <t>36 424 0</t>
  </si>
  <si>
    <t>36 230 0</t>
  </si>
  <si>
    <t>ТО и ремонт  сплит-систем и кондиционеров 
(все подразделения)</t>
  </si>
  <si>
    <t>Своевременное и качественное выполнение услуги</t>
  </si>
  <si>
    <t>усл.ед.</t>
  </si>
  <si>
    <t>Самарская область</t>
  </si>
  <si>
    <t>г.Москва</t>
  </si>
  <si>
    <t>Поставка мебели</t>
  </si>
  <si>
    <t>Товар должен быть новым. Соответствовать всем требованиям, предъявляемым к данному виду продукции</t>
  </si>
  <si>
    <t>Поставка кондиционеров</t>
  </si>
  <si>
    <t>Реконструкция инженерных сетей Красноармейского отделения</t>
  </si>
  <si>
    <t>с. Красноармейское</t>
  </si>
  <si>
    <t>г.Отрадный</t>
  </si>
  <si>
    <t>с.Большая Глушица</t>
  </si>
  <si>
    <t>Сопровождение и эксплуатация ПО "Телескоп"</t>
  </si>
  <si>
    <t>Совместимость с БД MS SQL, настройка ПО Телескоп, формирование отчетов</t>
  </si>
  <si>
    <t>Предпроектное обследование, поставка оборудования, монтаж, настройка и гарантийное обслуживание программного и аппаратного обеспечения, необходимого для полного функционирования АСКУЭ</t>
  </si>
  <si>
    <t>Монтаж АСКУЭ бытовых потребителей г. Отрадный</t>
  </si>
  <si>
    <t>Монтаж АСКУЭ бытовых потребителей г. Чапаевск</t>
  </si>
  <si>
    <t>36 450 3</t>
  </si>
  <si>
    <t>Монтаж АСКУЭ бытовых потребителей г. Нефтегорск</t>
  </si>
  <si>
    <t>Монтаж АИИС КУЭ промышленных потребителей</t>
  </si>
  <si>
    <t>Соответствие требований к АИИС КУЭ</t>
  </si>
  <si>
    <t>Возмещение угона, ущерба, неагрегатная система выплат</t>
  </si>
  <si>
    <t>одна условная единица</t>
  </si>
  <si>
    <t>Клявлино</t>
  </si>
  <si>
    <t>с. Кошки</t>
  </si>
  <si>
    <t>Добровольное медицинское страхование</t>
  </si>
  <si>
    <t>человек</t>
  </si>
  <si>
    <t>Соответствие ГОСТ</t>
  </si>
  <si>
    <t>ОЗП</t>
  </si>
  <si>
    <t>да</t>
  </si>
  <si>
    <t>Оргтехника в центральный офис (Персональные компьютеры)</t>
  </si>
  <si>
    <t>ОЗЦ</t>
  </si>
  <si>
    <t>Соответствие ТЗ</t>
  </si>
  <si>
    <t>нет</t>
  </si>
  <si>
    <t xml:space="preserve">Сервисная поддержка 5x9 Flexframe for SAP. </t>
  </si>
  <si>
    <t>Неисключительные права на антивирусное программное обеспечение.</t>
  </si>
  <si>
    <t>Неисключительные права на программное обеспечения повышения
отказоустойчивости информационной инфраструктуры ОАО "Самараэнерго"
(VMware)"</t>
  </si>
  <si>
    <t>Дозакупка лицензий для SAP IS-U.</t>
  </si>
  <si>
    <t>Покупка лицензий Система Юридически Значимого Электронного Документооборота (ЮЗЭД for SAP)</t>
  </si>
  <si>
    <t>Доработка Системы коротких сообщений (SMS) для прямой и обратной информ. связи с потребителями ЭЭ.</t>
  </si>
  <si>
    <t>Модернизация корпоративного сайта. Доработка samaraenergo.ru</t>
  </si>
  <si>
    <t>Развитие внутреннего корпоративного портала</t>
  </si>
  <si>
    <t>Отчетность по ключевым показателям компании. Развитие функциональности ИАС.</t>
  </si>
  <si>
    <t>Доработка ITSM системы SAP Solution Manager</t>
  </si>
  <si>
    <t xml:space="preserve">Модернизация ЛК </t>
  </si>
  <si>
    <t>Услуги по модернизация системы АСУ СЭРП (Интеграция контактного центра с АСУ СЭРП)</t>
  </si>
  <si>
    <t>Услуги по техническому обслуживанию СКС Митирева, 9 корпус1, офис 110.</t>
  </si>
  <si>
    <t>Услуги по доработке ИКАР (финансирование и бюджетирование).</t>
  </si>
  <si>
    <t>Приобретение сканеров штрих-кодов</t>
  </si>
  <si>
    <t>Строительство сети передачи данных организации конференцсвязи контакт-центра</t>
  </si>
  <si>
    <t>Строительство системы комплексной информационной безопасности в ОАО "Самараэнерго"</t>
  </si>
  <si>
    <t>Строительство системы видеоконференцсвязи с отделениями ОАО "Самараэнерго"</t>
  </si>
  <si>
    <t>Устройства печати. Обновление и развитие парка вычислительной техники</t>
  </si>
  <si>
    <t>Услуги Лаборатории Касперского защиты Личных Кабинетов потребителей от DDoS атак. Kaspersky DDoS Prevention.</t>
  </si>
  <si>
    <t>офисное помещение, отвечающее санитарным и пожарным нормам , центр города</t>
  </si>
  <si>
    <t>Согласно тех. Задания, членство в СРО</t>
  </si>
  <si>
    <t>Строительство пристроя Кошкинского отделения</t>
  </si>
  <si>
    <t>Реконструкция административного здания Отрадненского отделения</t>
  </si>
  <si>
    <t>с.Приволжье</t>
  </si>
  <si>
    <t>с.Челно-Вершины</t>
  </si>
  <si>
    <t>опыт по осуществлению деятельности, количество представительств, количество договоров с ЛПУ, перечень медуслуг, количество сотрудников с высшим медицинским образованием</t>
  </si>
  <si>
    <t>Теплый бокс с электропроводкой вблизи административного здания</t>
  </si>
  <si>
    <t>Приобретение Рено "Duster" (2 шт.)</t>
  </si>
  <si>
    <t>Приобретение Шевроле Нива (1 шт.)</t>
  </si>
  <si>
    <t>Приобретение Форд Транзит</t>
  </si>
  <si>
    <t>-</t>
  </si>
  <si>
    <t xml:space="preserve">1) Комплексное выполнение услуг по проведению медосмотров. 2) Наличие у мед. учреждения сертификатов врачебной деятельности и сертификатов по профпатологии. 3) Наличие договоров с лечебными учреждениями Самарской обл. </t>
  </si>
  <si>
    <t xml:space="preserve"> г.Отрадный</t>
  </si>
  <si>
    <t xml:space="preserve"> г.Чапаевск</t>
  </si>
  <si>
    <t xml:space="preserve"> г.Нефтегорск</t>
  </si>
  <si>
    <t>Приобретение люминесцентных объемных фасадных вывесок 3*0,5м</t>
  </si>
  <si>
    <t>Услуги кредитных организаций по предоставлению кредитных ресурсов</t>
  </si>
  <si>
    <t>Без залога, без поручителей,  с правом досрочного погашения без штрафов, транши до 60дн. Без дополнительных комиссий</t>
  </si>
  <si>
    <t>тыс.руб.</t>
  </si>
  <si>
    <t>г. Самара</t>
  </si>
  <si>
    <t>Услуги по организации, созыву и проведению общего собрания владельцев ценных бумаг ОАО "Самараэнерго"</t>
  </si>
  <si>
    <t xml:space="preserve">В соответствии с требованиями технического задания </t>
  </si>
  <si>
    <t>услуга</t>
  </si>
  <si>
    <t>Услуги по организации, созыву и проведению внеочередного общего собрания владельцев ценных бумаг ОАО "Самараэнерго"</t>
  </si>
  <si>
    <t>цена не определена</t>
  </si>
  <si>
    <t>Без залога, без поручителей,  с правом досрочного погашения без штрафов, транши до 30дн. Без дополнительных комиссий</t>
  </si>
  <si>
    <t>Приобретение нежилого помещения с земельным участком для Большеглушицкого отделения</t>
  </si>
  <si>
    <t>37 230 0</t>
  </si>
  <si>
    <t>с.Шентала</t>
  </si>
  <si>
    <t>Монтаж АСКУЭ бытовых потребителей с.Шентала</t>
  </si>
  <si>
    <t>Закупка счетчиков (типа Меркурий или аналог)</t>
  </si>
  <si>
    <t>1.Класс точности – не ниже 1,0.
2.Средний срок службы – не менее 30 лет.
3. Гарантийный срок  - не менее 3 лет.
4. Год выпуска - 2015г.</t>
  </si>
  <si>
    <t>Строительство структурированных кабельных систем в отделениях ОАО "Самараэнерго" (Жигулевск, Кр.Яр)</t>
  </si>
  <si>
    <t>Монтаж АСКУЭ бытовых потребителей г. Клявлино</t>
  </si>
  <si>
    <t>Сам.обл., г. Клявлино</t>
  </si>
  <si>
    <t>Наименование заказчика</t>
  </si>
  <si>
    <t>Адрес местонахождения</t>
  </si>
  <si>
    <t>Телефон заказчика</t>
  </si>
  <si>
    <t>Электронная почта заказчика</t>
  </si>
  <si>
    <t>ИНН</t>
  </si>
  <si>
    <t>КПП</t>
  </si>
  <si>
    <t>ОКАТО</t>
  </si>
  <si>
    <t>Открытое акционерное общество энергетики и электрификации «Самараэнерго»</t>
  </si>
  <si>
    <t>443079, Российская Федерация, город Самара, проезд имени Георгия Митирева, дом 9, корпус 1</t>
  </si>
  <si>
    <t>(846)340-38-00</t>
  </si>
  <si>
    <t>info@samaraenergo.ru</t>
  </si>
  <si>
    <t>План закупки товаров (работ, услуг) на 2015 год</t>
  </si>
  <si>
    <t>Приобретение Лада "Гранта" (17 шт.), Нива 2131 (4 шт.), Лада "Ларгус" (1 шт.), Нива 2121 (2 шт.)</t>
  </si>
  <si>
    <t>Реконструкция зданий Отрадненского, Новокуйбышевского, Большеглушицкого  отделений  ОАО "Самараэнерго" в целях выполнения требований пожарной безопасности</t>
  </si>
  <si>
    <t>г.Отрадный, г.Новокуйбышевск, с. Большая Глушица</t>
  </si>
  <si>
    <t>Поставка канцелярских товаров</t>
  </si>
  <si>
    <t>Поставка осуществляется по заявкам покупателя</t>
  </si>
  <si>
    <t>Генеральный директор ОАО "Самараэнерго" Дербенев О.А.   _______________________   "______"___________ 2014 г.</t>
  </si>
  <si>
    <t>Утверждено</t>
  </si>
  <si>
    <t>решением Совета директоров</t>
  </si>
  <si>
    <t>Услуги по модернизации системы АСУ СЭРП (Исковая работа)</t>
  </si>
  <si>
    <t>Услуги по модернизации системы АСУ СЭРП</t>
  </si>
  <si>
    <t xml:space="preserve">Поддержка лицензий на ПО, абонентская плата.
Система Юридически Значимого Электронного Документооборота </t>
  </si>
  <si>
    <t>Система Юридически Значимого Электронного Документооборота (ЮЗЭД ЮЛ) Кастомизация и внедрение.</t>
  </si>
  <si>
    <t>Приобретение фасадных вывесок, наклеек корпоративных</t>
  </si>
  <si>
    <t>Е.П.</t>
  </si>
  <si>
    <t>Е. П.</t>
  </si>
  <si>
    <t>52.48.13</t>
  </si>
  <si>
    <t xml:space="preserve">51.47.2   </t>
  </si>
  <si>
    <t xml:space="preserve">45.31     </t>
  </si>
  <si>
    <t xml:space="preserve">72.22     </t>
  </si>
  <si>
    <t xml:space="preserve">74.12     </t>
  </si>
  <si>
    <t xml:space="preserve">72.2      </t>
  </si>
  <si>
    <t xml:space="preserve">52.48.13  </t>
  </si>
  <si>
    <t xml:space="preserve">70.20.2   </t>
  </si>
  <si>
    <t xml:space="preserve">50.30     </t>
  </si>
  <si>
    <t xml:space="preserve">85.11.1   </t>
  </si>
  <si>
    <t>72.40</t>
  </si>
  <si>
    <t xml:space="preserve">50.10     </t>
  </si>
  <si>
    <t xml:space="preserve">72.2    </t>
  </si>
  <si>
    <t xml:space="preserve">66.03.2   </t>
  </si>
  <si>
    <t>66.03.1</t>
  </si>
  <si>
    <t xml:space="preserve">72.5      </t>
  </si>
  <si>
    <t>33.20.4</t>
  </si>
  <si>
    <t>74.4</t>
  </si>
  <si>
    <t>65.22</t>
  </si>
  <si>
    <t>67.1</t>
  </si>
  <si>
    <t xml:space="preserve">4530050
</t>
  </si>
  <si>
    <t xml:space="preserve">45.31     
</t>
  </si>
  <si>
    <t xml:space="preserve">45.31     
     </t>
  </si>
  <si>
    <t xml:space="preserve">45.31     
   </t>
  </si>
  <si>
    <t>70.12.2</t>
  </si>
  <si>
    <t xml:space="preserve">45.3  </t>
  </si>
  <si>
    <t xml:space="preserve">45.31       </t>
  </si>
  <si>
    <t>КАСКО</t>
  </si>
  <si>
    <t>№15/337 от "31"декабря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</si>
</sst>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[$-419]mmmm\ yyyy;@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5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8" fillId="0" borderId="0"/>
    <xf numFmtId="0" fontId="5" fillId="0" borderId="0"/>
    <xf numFmtId="0" fontId="7" fillId="0" borderId="0" applyNumberFormat="0" applyFont="0" applyFill="0" applyBorder="0" applyAlignment="0" applyProtection="0">
      <alignment vertical="top"/>
    </xf>
    <xf numFmtId="9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17" fontId="1" fillId="0" borderId="1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7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12" applyFont="1" applyFill="1" applyAlignment="1">
      <alignment horizontal="left"/>
    </xf>
    <xf numFmtId="0" fontId="13" fillId="0" borderId="0" xfId="0" applyFont="1" applyFill="1"/>
    <xf numFmtId="0" fontId="0" fillId="0" borderId="0" xfId="0" applyAlignment="1">
      <alignment horizontal="left"/>
    </xf>
    <xf numFmtId="0" fontId="14" fillId="0" borderId="0" xfId="0" applyFont="1"/>
    <xf numFmtId="0" fontId="15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17" fontId="6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ill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11" fillId="0" borderId="1" xfId="11" applyBorder="1" applyAlignment="1">
      <alignment horizontal="left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</cellXfs>
  <cellStyles count="13">
    <cellStyle name="Гиперссылка" xfId="11" builtinId="8"/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_Программа закупок_1" xfId="12"/>
    <cellStyle name="Процентный 2" xfId="9"/>
    <cellStyle name="Финансов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izPlan\2015\&#1043;&#1050;&#1055;&#1047;\&#1057;&#1077;&#1073;&#1077;&#1089;&#1090;&#1086;&#1080;&#1084;&#1086;&#1089;&#1090;&#1100;\&#1055;&#1069;&#1054;\&#1057;&#1090;&#1088;&#1072;&#1093;&#1086;&#1074;&#1072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422">
          <cell r="F422">
            <v>1693403.22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mailto:info@samaraenergo.ru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tabSelected="1" zoomScale="85" zoomScaleNormal="85" workbookViewId="0">
      <pane xSplit="1" ySplit="19" topLeftCell="B91" activePane="bottomRight" state="frozen"/>
      <selection pane="topRight" activeCell="B1" sqref="B1"/>
      <selection pane="bottomLeft" activeCell="A20" sqref="A20"/>
      <selection pane="bottomRight" activeCell="L89" sqref="L89"/>
    </sheetView>
  </sheetViews>
  <sheetFormatPr defaultRowHeight="15" x14ac:dyDescent="0.25"/>
  <cols>
    <col min="1" max="1" width="8.7109375" style="15" customWidth="1"/>
    <col min="2" max="2" width="9.140625" style="11"/>
    <col min="3" max="3" width="24.140625" style="11" customWidth="1"/>
    <col min="4" max="4" width="33.85546875" style="11" customWidth="1"/>
    <col min="5" max="5" width="27.5703125" customWidth="1"/>
    <col min="6" max="7" width="9.140625" style="14"/>
    <col min="8" max="8" width="12.85546875" style="15" customWidth="1"/>
    <col min="9" max="9" width="15.85546875" style="11" customWidth="1"/>
    <col min="10" max="10" width="19.7109375" style="16" customWidth="1"/>
    <col min="11" max="11" width="19" customWidth="1"/>
    <col min="12" max="12" width="14.42578125" style="44" customWidth="1"/>
    <col min="13" max="13" width="19" style="12" customWidth="1"/>
    <col min="14" max="14" width="11.140625" customWidth="1"/>
    <col min="15" max="15" width="11.85546875" customWidth="1"/>
  </cols>
  <sheetData>
    <row r="1" spans="1:15" ht="14.25" customHeight="1" x14ac:dyDescent="0.25">
      <c r="N1" s="40"/>
      <c r="O1" s="40"/>
    </row>
    <row r="2" spans="1:15" ht="15.75" x14ac:dyDescent="0.25">
      <c r="M2" s="43" t="s">
        <v>152</v>
      </c>
      <c r="N2" s="40"/>
      <c r="O2" s="40"/>
    </row>
    <row r="3" spans="1:15" ht="15.75" x14ac:dyDescent="0.25">
      <c r="M3" s="43" t="s">
        <v>153</v>
      </c>
      <c r="N3" s="40"/>
      <c r="O3" s="40"/>
    </row>
    <row r="4" spans="1:15" x14ac:dyDescent="0.25">
      <c r="M4" s="43" t="s">
        <v>189</v>
      </c>
    </row>
    <row r="5" spans="1:15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15" x14ac:dyDescent="0.25">
      <c r="A6" s="60" t="s">
        <v>145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1:15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1:15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45"/>
      <c r="M8" s="19"/>
      <c r="N8" s="19"/>
      <c r="O8" s="19"/>
    </row>
    <row r="9" spans="1:15" x14ac:dyDescent="0.25">
      <c r="A9" s="19"/>
      <c r="B9" s="64" t="s">
        <v>134</v>
      </c>
      <c r="C9" s="64"/>
      <c r="D9" s="64"/>
      <c r="E9" s="64" t="s">
        <v>141</v>
      </c>
      <c r="F9" s="64"/>
      <c r="G9" s="64"/>
      <c r="H9" s="64"/>
      <c r="I9" s="64"/>
      <c r="J9" s="64"/>
      <c r="K9" s="64"/>
      <c r="L9" s="45"/>
      <c r="M9" s="19"/>
      <c r="N9" s="19"/>
      <c r="O9" s="19"/>
    </row>
    <row r="10" spans="1:15" x14ac:dyDescent="0.25">
      <c r="A10" s="19"/>
      <c r="B10" s="64" t="s">
        <v>135</v>
      </c>
      <c r="C10" s="64"/>
      <c r="D10" s="64"/>
      <c r="E10" s="64" t="s">
        <v>142</v>
      </c>
      <c r="F10" s="64"/>
      <c r="G10" s="64"/>
      <c r="H10" s="64"/>
      <c r="I10" s="64"/>
      <c r="J10" s="64"/>
      <c r="K10" s="64"/>
      <c r="L10" s="45"/>
      <c r="M10" s="19"/>
      <c r="N10" s="19"/>
      <c r="O10" s="19"/>
    </row>
    <row r="11" spans="1:15" x14ac:dyDescent="0.25">
      <c r="A11" s="19"/>
      <c r="B11" s="64" t="s">
        <v>136</v>
      </c>
      <c r="C11" s="64"/>
      <c r="D11" s="64"/>
      <c r="E11" s="64" t="s">
        <v>143</v>
      </c>
      <c r="F11" s="64"/>
      <c r="G11" s="64"/>
      <c r="H11" s="64"/>
      <c r="I11" s="64"/>
      <c r="J11" s="64"/>
      <c r="K11" s="64"/>
      <c r="L11" s="45"/>
      <c r="M11" s="19"/>
      <c r="N11" s="19"/>
      <c r="O11" s="19"/>
    </row>
    <row r="12" spans="1:15" x14ac:dyDescent="0.25">
      <c r="A12" s="19"/>
      <c r="B12" s="64" t="s">
        <v>137</v>
      </c>
      <c r="C12" s="64"/>
      <c r="D12" s="64"/>
      <c r="E12" s="65" t="s">
        <v>144</v>
      </c>
      <c r="F12" s="64"/>
      <c r="G12" s="64"/>
      <c r="H12" s="64"/>
      <c r="I12" s="64"/>
      <c r="J12" s="64"/>
      <c r="K12" s="64"/>
      <c r="L12" s="45"/>
      <c r="M12" s="19"/>
      <c r="N12" s="19"/>
      <c r="O12" s="19"/>
    </row>
    <row r="13" spans="1:15" x14ac:dyDescent="0.25">
      <c r="A13" s="19"/>
      <c r="B13" s="64" t="s">
        <v>138</v>
      </c>
      <c r="C13" s="64"/>
      <c r="D13" s="64"/>
      <c r="E13" s="64">
        <v>6315222985</v>
      </c>
      <c r="F13" s="64"/>
      <c r="G13" s="64"/>
      <c r="H13" s="64"/>
      <c r="I13" s="64"/>
      <c r="J13" s="64"/>
      <c r="K13" s="64"/>
      <c r="L13" s="45"/>
      <c r="M13" s="19"/>
      <c r="N13" s="19"/>
      <c r="O13" s="19"/>
    </row>
    <row r="14" spans="1:15" x14ac:dyDescent="0.25">
      <c r="A14" s="19"/>
      <c r="B14" s="64" t="s">
        <v>139</v>
      </c>
      <c r="C14" s="64"/>
      <c r="D14" s="64"/>
      <c r="E14" s="64">
        <v>997450001</v>
      </c>
      <c r="F14" s="64"/>
      <c r="G14" s="64"/>
      <c r="H14" s="64"/>
      <c r="I14" s="64"/>
      <c r="J14" s="64"/>
      <c r="K14" s="64"/>
      <c r="L14" s="45"/>
      <c r="M14" s="19"/>
      <c r="N14" s="19"/>
      <c r="O14" s="19"/>
    </row>
    <row r="15" spans="1:15" x14ac:dyDescent="0.25">
      <c r="A15" s="7"/>
      <c r="B15" s="64" t="s">
        <v>140</v>
      </c>
      <c r="C15" s="64"/>
      <c r="D15" s="64"/>
      <c r="E15" s="64">
        <v>36401385000</v>
      </c>
      <c r="F15" s="64"/>
      <c r="G15" s="64"/>
      <c r="H15" s="64"/>
      <c r="I15" s="64"/>
      <c r="J15" s="64"/>
      <c r="K15" s="64"/>
      <c r="L15" s="46"/>
      <c r="M15" s="13"/>
      <c r="N15" s="2"/>
      <c r="O15" s="2"/>
    </row>
    <row r="16" spans="1:15" x14ac:dyDescent="0.25">
      <c r="A16" s="7"/>
      <c r="B16" s="10"/>
      <c r="C16" s="10"/>
      <c r="D16" s="10"/>
      <c r="E16" s="2"/>
      <c r="F16" s="5"/>
      <c r="G16" s="5"/>
      <c r="H16" s="7"/>
      <c r="I16" s="10"/>
      <c r="J16" s="8"/>
      <c r="K16" s="2"/>
      <c r="L16" s="46"/>
      <c r="M16" s="13"/>
      <c r="N16" s="2"/>
      <c r="O16" s="2"/>
    </row>
    <row r="17" spans="1:16" ht="15" customHeight="1" x14ac:dyDescent="0.25">
      <c r="A17" s="61" t="s">
        <v>0</v>
      </c>
      <c r="B17" s="61" t="s">
        <v>1</v>
      </c>
      <c r="C17" s="61" t="s">
        <v>2</v>
      </c>
      <c r="D17" s="61" t="s">
        <v>5</v>
      </c>
      <c r="E17" s="61"/>
      <c r="F17" s="61"/>
      <c r="G17" s="61"/>
      <c r="H17" s="61"/>
      <c r="I17" s="61"/>
      <c r="J17" s="61"/>
      <c r="K17" s="61"/>
      <c r="L17" s="61"/>
      <c r="M17" s="61"/>
      <c r="N17" s="61" t="s">
        <v>16</v>
      </c>
      <c r="O17" s="61" t="s">
        <v>17</v>
      </c>
      <c r="P17" s="1"/>
    </row>
    <row r="18" spans="1:16" ht="28.5" customHeight="1" x14ac:dyDescent="0.25">
      <c r="A18" s="61"/>
      <c r="B18" s="61"/>
      <c r="C18" s="61"/>
      <c r="D18" s="62" t="s">
        <v>3</v>
      </c>
      <c r="E18" s="61" t="s">
        <v>4</v>
      </c>
      <c r="F18" s="61" t="s">
        <v>6</v>
      </c>
      <c r="G18" s="61"/>
      <c r="H18" s="61" t="s">
        <v>9</v>
      </c>
      <c r="I18" s="61" t="s">
        <v>10</v>
      </c>
      <c r="J18" s="61"/>
      <c r="K18" s="61" t="s">
        <v>12</v>
      </c>
      <c r="L18" s="61" t="s">
        <v>13</v>
      </c>
      <c r="M18" s="61"/>
      <c r="N18" s="61"/>
      <c r="O18" s="61"/>
      <c r="P18" s="1"/>
    </row>
    <row r="19" spans="1:16" ht="105" x14ac:dyDescent="0.25">
      <c r="A19" s="61"/>
      <c r="B19" s="61"/>
      <c r="C19" s="61"/>
      <c r="D19" s="63"/>
      <c r="E19" s="61"/>
      <c r="F19" s="6" t="s">
        <v>7</v>
      </c>
      <c r="G19" s="6" t="s">
        <v>8</v>
      </c>
      <c r="H19" s="61"/>
      <c r="I19" s="6" t="s">
        <v>11</v>
      </c>
      <c r="J19" s="9" t="s">
        <v>8</v>
      </c>
      <c r="K19" s="61"/>
      <c r="L19" s="47" t="s">
        <v>14</v>
      </c>
      <c r="M19" s="6" t="s">
        <v>15</v>
      </c>
      <c r="N19" s="61"/>
      <c r="O19" s="3" t="s">
        <v>18</v>
      </c>
      <c r="P19" s="1"/>
    </row>
    <row r="20" spans="1:16" x14ac:dyDescent="0.25">
      <c r="A20" s="69">
        <v>42005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1"/>
      <c r="P20" s="1"/>
    </row>
    <row r="21" spans="1:16" s="4" customFormat="1" ht="75" x14ac:dyDescent="0.25">
      <c r="A21" s="20">
        <v>1</v>
      </c>
      <c r="B21" s="21" t="s">
        <v>179</v>
      </c>
      <c r="C21" s="21">
        <v>6512020</v>
      </c>
      <c r="D21" s="21" t="s">
        <v>115</v>
      </c>
      <c r="E21" s="21" t="s">
        <v>116</v>
      </c>
      <c r="F21" s="21">
        <v>384</v>
      </c>
      <c r="G21" s="21" t="s">
        <v>117</v>
      </c>
      <c r="H21" s="26">
        <v>500000</v>
      </c>
      <c r="I21" s="20">
        <v>36401000000</v>
      </c>
      <c r="J21" s="21" t="s">
        <v>118</v>
      </c>
      <c r="K21" s="27" t="s">
        <v>123</v>
      </c>
      <c r="L21" s="48">
        <v>42005</v>
      </c>
      <c r="M21" s="28">
        <v>42552</v>
      </c>
      <c r="N21" s="21" t="s">
        <v>160</v>
      </c>
      <c r="O21" s="21" t="s">
        <v>77</v>
      </c>
    </row>
    <row r="22" spans="1:16" s="4" customFormat="1" ht="75" x14ac:dyDescent="0.25">
      <c r="A22" s="20">
        <v>2</v>
      </c>
      <c r="B22" s="21" t="s">
        <v>179</v>
      </c>
      <c r="C22" s="21">
        <v>6512020</v>
      </c>
      <c r="D22" s="21" t="s">
        <v>115</v>
      </c>
      <c r="E22" s="21" t="s">
        <v>124</v>
      </c>
      <c r="F22" s="21">
        <v>384</v>
      </c>
      <c r="G22" s="21" t="s">
        <v>117</v>
      </c>
      <c r="H22" s="26">
        <v>130000</v>
      </c>
      <c r="I22" s="20">
        <v>36401000000</v>
      </c>
      <c r="J22" s="21" t="s">
        <v>118</v>
      </c>
      <c r="K22" s="27" t="s">
        <v>123</v>
      </c>
      <c r="L22" s="48">
        <v>42005</v>
      </c>
      <c r="M22" s="28">
        <v>42370</v>
      </c>
      <c r="N22" s="21" t="s">
        <v>159</v>
      </c>
      <c r="O22" s="21" t="s">
        <v>77</v>
      </c>
    </row>
    <row r="23" spans="1:16" s="4" customFormat="1" x14ac:dyDescent="0.25">
      <c r="A23" s="57">
        <v>42036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9"/>
    </row>
    <row r="24" spans="1:16" s="4" customFormat="1" ht="60" x14ac:dyDescent="0.25">
      <c r="A24" s="20">
        <v>3</v>
      </c>
      <c r="B24" s="17">
        <v>45</v>
      </c>
      <c r="C24" s="17">
        <v>4530019</v>
      </c>
      <c r="D24" s="21" t="s">
        <v>131</v>
      </c>
      <c r="E24" s="33" t="s">
        <v>76</v>
      </c>
      <c r="F24" s="20">
        <v>876</v>
      </c>
      <c r="G24" s="20" t="s">
        <v>46</v>
      </c>
      <c r="H24" s="17">
        <v>1</v>
      </c>
      <c r="I24" s="20">
        <v>36401000000</v>
      </c>
      <c r="J24" s="21" t="s">
        <v>118</v>
      </c>
      <c r="K24" s="31">
        <f>(1694+724)*1.18</f>
        <v>2853.24</v>
      </c>
      <c r="L24" s="48">
        <v>42036</v>
      </c>
      <c r="M24" s="28">
        <v>42125</v>
      </c>
      <c r="N24" s="21" t="s">
        <v>72</v>
      </c>
      <c r="O24" s="20" t="s">
        <v>73</v>
      </c>
    </row>
    <row r="25" spans="1:16" s="4" customFormat="1" ht="30" x14ac:dyDescent="0.25">
      <c r="A25" s="20">
        <v>4</v>
      </c>
      <c r="B25" s="20" t="s">
        <v>162</v>
      </c>
      <c r="C25" s="20">
        <v>5139020</v>
      </c>
      <c r="D25" s="21" t="s">
        <v>149</v>
      </c>
      <c r="E25" s="21" t="s">
        <v>150</v>
      </c>
      <c r="F25" s="20">
        <v>876</v>
      </c>
      <c r="G25" s="20" t="s">
        <v>46</v>
      </c>
      <c r="H25" s="20" t="s">
        <v>109</v>
      </c>
      <c r="I25" s="20">
        <v>36401</v>
      </c>
      <c r="J25" s="20" t="s">
        <v>118</v>
      </c>
      <c r="K25" s="31">
        <f>1111.4*1.18</f>
        <v>1311.452</v>
      </c>
      <c r="L25" s="48">
        <v>42036</v>
      </c>
      <c r="M25" s="28">
        <v>42339</v>
      </c>
      <c r="N25" s="20" t="s">
        <v>75</v>
      </c>
      <c r="O25" s="20" t="s">
        <v>73</v>
      </c>
    </row>
    <row r="26" spans="1:16" s="4" customFormat="1" ht="75" x14ac:dyDescent="0.25">
      <c r="A26" s="20">
        <v>5</v>
      </c>
      <c r="B26" s="21" t="s">
        <v>179</v>
      </c>
      <c r="C26" s="21">
        <v>6512020</v>
      </c>
      <c r="D26" s="21" t="s">
        <v>115</v>
      </c>
      <c r="E26" s="21" t="s">
        <v>116</v>
      </c>
      <c r="F26" s="21">
        <v>384</v>
      </c>
      <c r="G26" s="21" t="s">
        <v>117</v>
      </c>
      <c r="H26" s="26">
        <v>1000000</v>
      </c>
      <c r="I26" s="20">
        <v>36401000000</v>
      </c>
      <c r="J26" s="21" t="s">
        <v>118</v>
      </c>
      <c r="K26" s="27" t="s">
        <v>123</v>
      </c>
      <c r="L26" s="48">
        <v>42036</v>
      </c>
      <c r="M26" s="28">
        <v>42401</v>
      </c>
      <c r="N26" s="21" t="s">
        <v>159</v>
      </c>
      <c r="O26" s="21" t="s">
        <v>77</v>
      </c>
    </row>
    <row r="27" spans="1:16" s="4" customFormat="1" ht="45" x14ac:dyDescent="0.25">
      <c r="A27" s="20">
        <v>6</v>
      </c>
      <c r="B27" s="17" t="s">
        <v>163</v>
      </c>
      <c r="C27" s="17">
        <v>4530019</v>
      </c>
      <c r="D27" s="34" t="s">
        <v>90</v>
      </c>
      <c r="E27" s="33" t="s">
        <v>76</v>
      </c>
      <c r="F27" s="20">
        <v>876</v>
      </c>
      <c r="G27" s="20" t="s">
        <v>46</v>
      </c>
      <c r="H27" s="17" t="s">
        <v>109</v>
      </c>
      <c r="I27" s="20">
        <v>36401000000</v>
      </c>
      <c r="J27" s="21" t="s">
        <v>118</v>
      </c>
      <c r="K27" s="31">
        <f>500*1.18</f>
        <v>590</v>
      </c>
      <c r="L27" s="48">
        <v>42036</v>
      </c>
      <c r="M27" s="28">
        <v>42095</v>
      </c>
      <c r="N27" s="21" t="s">
        <v>72</v>
      </c>
      <c r="O27" s="20" t="s">
        <v>73</v>
      </c>
    </row>
    <row r="28" spans="1:16" s="4" customFormat="1" x14ac:dyDescent="0.25">
      <c r="A28" s="57">
        <v>42064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9"/>
    </row>
    <row r="29" spans="1:16" s="4" customFormat="1" ht="75" x14ac:dyDescent="0.25">
      <c r="A29" s="20">
        <v>7</v>
      </c>
      <c r="B29" s="21" t="s">
        <v>179</v>
      </c>
      <c r="C29" s="21">
        <v>6512020</v>
      </c>
      <c r="D29" s="21" t="s">
        <v>115</v>
      </c>
      <c r="E29" s="21" t="s">
        <v>124</v>
      </c>
      <c r="F29" s="21">
        <v>384</v>
      </c>
      <c r="G29" s="21" t="s">
        <v>117</v>
      </c>
      <c r="H29" s="26">
        <v>110000</v>
      </c>
      <c r="I29" s="20">
        <v>36401000000</v>
      </c>
      <c r="J29" s="21" t="s">
        <v>118</v>
      </c>
      <c r="K29" s="27" t="s">
        <v>123</v>
      </c>
      <c r="L29" s="48">
        <v>42064</v>
      </c>
      <c r="M29" s="28">
        <v>42430</v>
      </c>
      <c r="N29" s="21" t="s">
        <v>159</v>
      </c>
      <c r="O29" s="21" t="s">
        <v>77</v>
      </c>
    </row>
    <row r="30" spans="1:16" s="4" customFormat="1" ht="60" customHeight="1" x14ac:dyDescent="0.25">
      <c r="A30" s="20">
        <v>8</v>
      </c>
      <c r="B30" s="21" t="s">
        <v>180</v>
      </c>
      <c r="C30" s="21">
        <v>6711090</v>
      </c>
      <c r="D30" s="21" t="s">
        <v>119</v>
      </c>
      <c r="E30" s="21" t="s">
        <v>120</v>
      </c>
      <c r="F30" s="21">
        <v>876</v>
      </c>
      <c r="G30" s="21" t="s">
        <v>121</v>
      </c>
      <c r="H30" s="21">
        <v>1</v>
      </c>
      <c r="I30" s="21">
        <v>36401000000</v>
      </c>
      <c r="J30" s="21" t="s">
        <v>118</v>
      </c>
      <c r="K30" s="27">
        <f>1209.712*1.18</f>
        <v>1427.4601599999999</v>
      </c>
      <c r="L30" s="48">
        <v>42064</v>
      </c>
      <c r="M30" s="28">
        <v>42156</v>
      </c>
      <c r="N30" s="20" t="s">
        <v>159</v>
      </c>
      <c r="O30" s="20" t="s">
        <v>77</v>
      </c>
    </row>
    <row r="31" spans="1:16" s="4" customFormat="1" ht="30.75" customHeight="1" x14ac:dyDescent="0.25">
      <c r="A31" s="20">
        <v>9</v>
      </c>
      <c r="B31" s="20" t="s">
        <v>161</v>
      </c>
      <c r="C31" s="20">
        <v>5239090</v>
      </c>
      <c r="D31" s="34" t="s">
        <v>92</v>
      </c>
      <c r="E31" s="33" t="s">
        <v>76</v>
      </c>
      <c r="F31" s="20">
        <v>796</v>
      </c>
      <c r="G31" s="20" t="s">
        <v>39</v>
      </c>
      <c r="H31" s="20">
        <v>200</v>
      </c>
      <c r="I31" s="20">
        <v>36401000000</v>
      </c>
      <c r="J31" s="21" t="s">
        <v>118</v>
      </c>
      <c r="K31" s="31">
        <f>1100*1.18</f>
        <v>1298</v>
      </c>
      <c r="L31" s="48">
        <v>42064</v>
      </c>
      <c r="M31" s="28">
        <v>42125</v>
      </c>
      <c r="N31" s="21" t="s">
        <v>72</v>
      </c>
      <c r="O31" s="29" t="s">
        <v>73</v>
      </c>
    </row>
    <row r="32" spans="1:16" s="4" customFormat="1" ht="60" x14ac:dyDescent="0.25">
      <c r="A32" s="20">
        <v>10</v>
      </c>
      <c r="B32" s="17" t="s">
        <v>164</v>
      </c>
      <c r="C32" s="17">
        <v>7200000</v>
      </c>
      <c r="D32" s="35" t="s">
        <v>156</v>
      </c>
      <c r="E32" s="33" t="s">
        <v>76</v>
      </c>
      <c r="F32" s="20">
        <v>876</v>
      </c>
      <c r="G32" s="20" t="s">
        <v>46</v>
      </c>
      <c r="H32" s="17" t="s">
        <v>109</v>
      </c>
      <c r="I32" s="20">
        <v>36401000000</v>
      </c>
      <c r="J32" s="21" t="s">
        <v>118</v>
      </c>
      <c r="K32" s="31">
        <f>567.5*1.18</f>
        <v>669.65</v>
      </c>
      <c r="L32" s="48">
        <v>42064</v>
      </c>
      <c r="M32" s="28">
        <v>42339</v>
      </c>
      <c r="N32" s="21" t="s">
        <v>72</v>
      </c>
      <c r="O32" s="20" t="s">
        <v>73</v>
      </c>
    </row>
    <row r="33" spans="1:15" s="4" customFormat="1" ht="39" customHeight="1" x14ac:dyDescent="0.25">
      <c r="A33" s="20">
        <v>11</v>
      </c>
      <c r="B33" s="21" t="s">
        <v>182</v>
      </c>
      <c r="C33" s="21" t="s">
        <v>181</v>
      </c>
      <c r="D33" s="51" t="s">
        <v>59</v>
      </c>
      <c r="E33" s="66" t="s">
        <v>58</v>
      </c>
      <c r="F33" s="21">
        <v>876</v>
      </c>
      <c r="G33" s="21" t="s">
        <v>46</v>
      </c>
      <c r="H33" s="20">
        <v>1</v>
      </c>
      <c r="I33" s="24" t="s">
        <v>42</v>
      </c>
      <c r="J33" s="21" t="s">
        <v>111</v>
      </c>
      <c r="K33" s="31">
        <f>10130.208*1.18</f>
        <v>11953.64544</v>
      </c>
      <c r="L33" s="48">
        <v>42064</v>
      </c>
      <c r="M33" s="28">
        <v>42461</v>
      </c>
      <c r="N33" s="20" t="s">
        <v>72</v>
      </c>
      <c r="O33" s="20" t="s">
        <v>73</v>
      </c>
    </row>
    <row r="34" spans="1:15" s="4" customFormat="1" ht="30" x14ac:dyDescent="0.25">
      <c r="A34" s="20">
        <v>12</v>
      </c>
      <c r="B34" s="21" t="s">
        <v>183</v>
      </c>
      <c r="C34" s="21" t="s">
        <v>181</v>
      </c>
      <c r="D34" s="51" t="s">
        <v>60</v>
      </c>
      <c r="E34" s="67"/>
      <c r="F34" s="21">
        <v>876</v>
      </c>
      <c r="G34" s="21" t="s">
        <v>46</v>
      </c>
      <c r="H34" s="20">
        <v>1</v>
      </c>
      <c r="I34" s="20" t="s">
        <v>61</v>
      </c>
      <c r="J34" s="21" t="s">
        <v>112</v>
      </c>
      <c r="K34" s="31">
        <f>140021.298*1.18</f>
        <v>165225.13164000001</v>
      </c>
      <c r="L34" s="48">
        <v>42064</v>
      </c>
      <c r="M34" s="28">
        <v>42461</v>
      </c>
      <c r="N34" s="20" t="s">
        <v>72</v>
      </c>
      <c r="O34" s="20" t="s">
        <v>73</v>
      </c>
    </row>
    <row r="35" spans="1:15" s="4" customFormat="1" ht="30" x14ac:dyDescent="0.25">
      <c r="A35" s="20">
        <v>13</v>
      </c>
      <c r="B35" s="21" t="s">
        <v>184</v>
      </c>
      <c r="C35" s="21" t="s">
        <v>181</v>
      </c>
      <c r="D35" s="51" t="s">
        <v>62</v>
      </c>
      <c r="E35" s="67"/>
      <c r="F35" s="21">
        <v>876</v>
      </c>
      <c r="G35" s="21" t="s">
        <v>46</v>
      </c>
      <c r="H35" s="20">
        <v>1</v>
      </c>
      <c r="I35" s="20" t="s">
        <v>43</v>
      </c>
      <c r="J35" s="21" t="s">
        <v>113</v>
      </c>
      <c r="K35" s="31">
        <f>43823.432*1.18</f>
        <v>51711.64976</v>
      </c>
      <c r="L35" s="48">
        <v>42064</v>
      </c>
      <c r="M35" s="28">
        <v>42461</v>
      </c>
      <c r="N35" s="20" t="s">
        <v>72</v>
      </c>
      <c r="O35" s="20" t="s">
        <v>73</v>
      </c>
    </row>
    <row r="36" spans="1:15" s="4" customFormat="1" ht="30" x14ac:dyDescent="0.25">
      <c r="A36" s="20">
        <v>14</v>
      </c>
      <c r="B36" s="21" t="s">
        <v>184</v>
      </c>
      <c r="C36" s="21" t="s">
        <v>181</v>
      </c>
      <c r="D36" s="51" t="s">
        <v>128</v>
      </c>
      <c r="E36" s="67"/>
      <c r="F36" s="21">
        <v>876</v>
      </c>
      <c r="G36" s="21" t="s">
        <v>46</v>
      </c>
      <c r="H36" s="20">
        <v>1</v>
      </c>
      <c r="I36" s="20" t="s">
        <v>126</v>
      </c>
      <c r="J36" s="21" t="s">
        <v>127</v>
      </c>
      <c r="K36" s="31">
        <f>5249.662*1.18</f>
        <v>6194.6011600000002</v>
      </c>
      <c r="L36" s="48">
        <v>42064</v>
      </c>
      <c r="M36" s="28">
        <v>42461</v>
      </c>
      <c r="N36" s="20" t="s">
        <v>72</v>
      </c>
      <c r="O36" s="20" t="s">
        <v>73</v>
      </c>
    </row>
    <row r="37" spans="1:15" s="52" customFormat="1" ht="30" x14ac:dyDescent="0.25">
      <c r="A37" s="20">
        <v>15</v>
      </c>
      <c r="B37" s="21" t="s">
        <v>183</v>
      </c>
      <c r="C37" s="21" t="s">
        <v>181</v>
      </c>
      <c r="D37" s="51" t="s">
        <v>132</v>
      </c>
      <c r="E37" s="68"/>
      <c r="F37" s="21">
        <v>876</v>
      </c>
      <c r="G37" s="21" t="s">
        <v>46</v>
      </c>
      <c r="H37" s="20">
        <v>1</v>
      </c>
      <c r="I37" s="24">
        <v>36222</v>
      </c>
      <c r="J37" s="21" t="s">
        <v>133</v>
      </c>
      <c r="K37" s="31">
        <f>6275.9*1.18</f>
        <v>7405.561999999999</v>
      </c>
      <c r="L37" s="48">
        <v>42064</v>
      </c>
      <c r="M37" s="28">
        <v>42461</v>
      </c>
      <c r="N37" s="20" t="s">
        <v>72</v>
      </c>
      <c r="O37" s="20" t="s">
        <v>73</v>
      </c>
    </row>
    <row r="38" spans="1:15" s="4" customFormat="1" ht="105" x14ac:dyDescent="0.25">
      <c r="A38" s="20">
        <v>16</v>
      </c>
      <c r="B38" s="21">
        <v>45</v>
      </c>
      <c r="C38" s="50">
        <v>4500000</v>
      </c>
      <c r="D38" s="21" t="s">
        <v>147</v>
      </c>
      <c r="E38" s="21" t="s">
        <v>99</v>
      </c>
      <c r="F38" s="20">
        <v>876</v>
      </c>
      <c r="G38" s="20" t="s">
        <v>46</v>
      </c>
      <c r="H38" s="20">
        <v>1</v>
      </c>
      <c r="I38" s="24">
        <v>36424</v>
      </c>
      <c r="J38" s="21" t="s">
        <v>148</v>
      </c>
      <c r="K38" s="31">
        <f>620*1.18+731.6+767</f>
        <v>2230.1999999999998</v>
      </c>
      <c r="L38" s="48">
        <v>42064</v>
      </c>
      <c r="M38" s="28">
        <v>42278</v>
      </c>
      <c r="N38" s="20" t="s">
        <v>75</v>
      </c>
      <c r="O38" s="20" t="s">
        <v>77</v>
      </c>
    </row>
    <row r="39" spans="1:15" s="4" customFormat="1" ht="60" x14ac:dyDescent="0.25">
      <c r="A39" s="20">
        <v>17</v>
      </c>
      <c r="B39" s="17" t="s">
        <v>166</v>
      </c>
      <c r="C39" s="21">
        <v>7260000</v>
      </c>
      <c r="D39" s="51" t="s">
        <v>56</v>
      </c>
      <c r="E39" s="21" t="s">
        <v>57</v>
      </c>
      <c r="F39" s="21">
        <v>876</v>
      </c>
      <c r="G39" s="21" t="s">
        <v>46</v>
      </c>
      <c r="H39" s="20">
        <v>1</v>
      </c>
      <c r="I39" s="24" t="s">
        <v>38</v>
      </c>
      <c r="J39" s="21" t="s">
        <v>118</v>
      </c>
      <c r="K39" s="31">
        <f>600000/1000*1.18</f>
        <v>708</v>
      </c>
      <c r="L39" s="48">
        <v>42064</v>
      </c>
      <c r="M39" s="28">
        <v>42461</v>
      </c>
      <c r="N39" s="20" t="s">
        <v>159</v>
      </c>
      <c r="O39" s="20" t="s">
        <v>77</v>
      </c>
    </row>
    <row r="40" spans="1:15" s="4" customFormat="1" ht="105" x14ac:dyDescent="0.25">
      <c r="A40" s="20">
        <v>18</v>
      </c>
      <c r="B40" s="20" t="s">
        <v>177</v>
      </c>
      <c r="C40" s="18">
        <v>3312480</v>
      </c>
      <c r="D40" s="51" t="s">
        <v>129</v>
      </c>
      <c r="E40" s="21" t="s">
        <v>130</v>
      </c>
      <c r="F40" s="21">
        <v>796</v>
      </c>
      <c r="G40" s="21" t="s">
        <v>39</v>
      </c>
      <c r="H40" s="20">
        <v>1000</v>
      </c>
      <c r="I40" s="24" t="s">
        <v>38</v>
      </c>
      <c r="J40" s="21" t="s">
        <v>118</v>
      </c>
      <c r="K40" s="31">
        <f>1000*1.18</f>
        <v>1180</v>
      </c>
      <c r="L40" s="48">
        <v>42064</v>
      </c>
      <c r="M40" s="28">
        <v>42339</v>
      </c>
      <c r="N40" s="20" t="s">
        <v>75</v>
      </c>
      <c r="O40" s="21" t="s">
        <v>73</v>
      </c>
    </row>
    <row r="41" spans="1:15" s="4" customFormat="1" ht="60" x14ac:dyDescent="0.25">
      <c r="A41" s="20">
        <v>19</v>
      </c>
      <c r="B41" s="21" t="s">
        <v>185</v>
      </c>
      <c r="C41" s="20">
        <v>7010032</v>
      </c>
      <c r="D41" s="37" t="s">
        <v>125</v>
      </c>
      <c r="E41" s="21" t="s">
        <v>98</v>
      </c>
      <c r="F41" s="39" t="s">
        <v>31</v>
      </c>
      <c r="G41" s="21" t="s">
        <v>32</v>
      </c>
      <c r="H41" s="20">
        <v>312</v>
      </c>
      <c r="I41" s="20">
        <v>36208</v>
      </c>
      <c r="J41" s="21" t="s">
        <v>55</v>
      </c>
      <c r="K41" s="31">
        <f>5000</f>
        <v>5000</v>
      </c>
      <c r="L41" s="48">
        <v>42064</v>
      </c>
      <c r="M41" s="28">
        <v>42095</v>
      </c>
      <c r="N41" s="21" t="s">
        <v>159</v>
      </c>
      <c r="O41" s="21" t="s">
        <v>77</v>
      </c>
    </row>
    <row r="42" spans="1:15" s="4" customFormat="1" ht="75" x14ac:dyDescent="0.25">
      <c r="A42" s="20">
        <v>20</v>
      </c>
      <c r="B42" s="20" t="s">
        <v>165</v>
      </c>
      <c r="C42" s="20">
        <v>7412000</v>
      </c>
      <c r="D42" s="34" t="s">
        <v>28</v>
      </c>
      <c r="E42" s="21" t="s">
        <v>27</v>
      </c>
      <c r="F42" s="20">
        <v>876</v>
      </c>
      <c r="G42" s="21" t="s">
        <v>66</v>
      </c>
      <c r="H42" s="21">
        <v>1</v>
      </c>
      <c r="I42" s="24">
        <v>36401</v>
      </c>
      <c r="J42" s="21" t="s">
        <v>118</v>
      </c>
      <c r="K42" s="31">
        <f>1463</f>
        <v>1463</v>
      </c>
      <c r="L42" s="48">
        <v>42064</v>
      </c>
      <c r="M42" s="28">
        <v>42095</v>
      </c>
      <c r="N42" s="20" t="s">
        <v>159</v>
      </c>
      <c r="O42" s="20" t="s">
        <v>77</v>
      </c>
    </row>
    <row r="43" spans="1:15" s="4" customFormat="1" x14ac:dyDescent="0.25">
      <c r="A43" s="57">
        <v>42095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9"/>
    </row>
    <row r="44" spans="1:15" s="4" customFormat="1" ht="72" customHeight="1" x14ac:dyDescent="0.25">
      <c r="A44" s="20">
        <v>21</v>
      </c>
      <c r="B44" s="20" t="s">
        <v>165</v>
      </c>
      <c r="C44" s="20">
        <v>7412000</v>
      </c>
      <c r="D44" s="50" t="s">
        <v>29</v>
      </c>
      <c r="E44" s="21" t="s">
        <v>27</v>
      </c>
      <c r="F44" s="20">
        <v>876</v>
      </c>
      <c r="G44" s="21" t="s">
        <v>66</v>
      </c>
      <c r="H44" s="21">
        <v>1</v>
      </c>
      <c r="I44" s="24">
        <v>36401</v>
      </c>
      <c r="J44" s="21" t="s">
        <v>118</v>
      </c>
      <c r="K44" s="31">
        <f>1174</f>
        <v>1174</v>
      </c>
      <c r="L44" s="48">
        <v>42095</v>
      </c>
      <c r="M44" s="28">
        <v>42095</v>
      </c>
      <c r="N44" s="20" t="s">
        <v>159</v>
      </c>
      <c r="O44" s="20" t="s">
        <v>77</v>
      </c>
    </row>
    <row r="45" spans="1:15" s="4" customFormat="1" ht="45" x14ac:dyDescent="0.25">
      <c r="A45" s="20">
        <v>22</v>
      </c>
      <c r="B45" s="17" t="s">
        <v>166</v>
      </c>
      <c r="C45" s="17">
        <v>7200000</v>
      </c>
      <c r="D45" s="34" t="s">
        <v>86</v>
      </c>
      <c r="E45" s="33" t="s">
        <v>76</v>
      </c>
      <c r="F45" s="20">
        <v>876</v>
      </c>
      <c r="G45" s="20" t="s">
        <v>46</v>
      </c>
      <c r="H45" s="17">
        <v>1</v>
      </c>
      <c r="I45" s="20">
        <v>36401000000</v>
      </c>
      <c r="J45" s="21" t="s">
        <v>118</v>
      </c>
      <c r="K45" s="31">
        <f>7500*1.18</f>
        <v>8850</v>
      </c>
      <c r="L45" s="48">
        <v>42095</v>
      </c>
      <c r="M45" s="28">
        <v>42339</v>
      </c>
      <c r="N45" s="21" t="s">
        <v>159</v>
      </c>
      <c r="O45" s="20" t="s">
        <v>77</v>
      </c>
    </row>
    <row r="46" spans="1:15" s="4" customFormat="1" ht="45" x14ac:dyDescent="0.25">
      <c r="A46" s="20">
        <v>23</v>
      </c>
      <c r="B46" s="17" t="s">
        <v>166</v>
      </c>
      <c r="C46" s="17">
        <v>7200000</v>
      </c>
      <c r="D46" s="35" t="s">
        <v>91</v>
      </c>
      <c r="E46" s="33" t="s">
        <v>76</v>
      </c>
      <c r="F46" s="20">
        <v>876</v>
      </c>
      <c r="G46" s="20" t="s">
        <v>46</v>
      </c>
      <c r="H46" s="17" t="s">
        <v>109</v>
      </c>
      <c r="I46" s="20">
        <v>36401000000</v>
      </c>
      <c r="J46" s="21" t="s">
        <v>118</v>
      </c>
      <c r="K46" s="31">
        <f>2700*1.18</f>
        <v>3186</v>
      </c>
      <c r="L46" s="48">
        <v>42095</v>
      </c>
      <c r="M46" s="28">
        <v>42278</v>
      </c>
      <c r="N46" s="21" t="s">
        <v>159</v>
      </c>
      <c r="O46" s="20" t="s">
        <v>77</v>
      </c>
    </row>
    <row r="47" spans="1:15" s="4" customFormat="1" ht="45" x14ac:dyDescent="0.25">
      <c r="A47" s="20">
        <v>24</v>
      </c>
      <c r="B47" s="17" t="s">
        <v>167</v>
      </c>
      <c r="C47" s="17">
        <v>5235000</v>
      </c>
      <c r="D47" s="36" t="s">
        <v>96</v>
      </c>
      <c r="E47" s="33" t="s">
        <v>76</v>
      </c>
      <c r="F47" s="20">
        <v>876</v>
      </c>
      <c r="G47" s="20" t="s">
        <v>46</v>
      </c>
      <c r="H47" s="17" t="s">
        <v>109</v>
      </c>
      <c r="I47" s="20">
        <v>36401000000</v>
      </c>
      <c r="J47" s="21" t="s">
        <v>118</v>
      </c>
      <c r="K47" s="31">
        <f>2119*1.18</f>
        <v>2500.42</v>
      </c>
      <c r="L47" s="48">
        <v>42095</v>
      </c>
      <c r="M47" s="28">
        <v>42156</v>
      </c>
      <c r="N47" s="21" t="s">
        <v>75</v>
      </c>
      <c r="O47" s="20" t="s">
        <v>73</v>
      </c>
    </row>
    <row r="48" spans="1:15" s="4" customFormat="1" ht="30" x14ac:dyDescent="0.25">
      <c r="A48" s="20">
        <v>25</v>
      </c>
      <c r="B48" s="17" t="s">
        <v>161</v>
      </c>
      <c r="C48" s="53">
        <v>5235020</v>
      </c>
      <c r="D48" s="34" t="s">
        <v>74</v>
      </c>
      <c r="E48" s="33" t="s">
        <v>71</v>
      </c>
      <c r="F48" s="20">
        <v>876</v>
      </c>
      <c r="G48" s="20" t="s">
        <v>46</v>
      </c>
      <c r="H48" s="20" t="s">
        <v>109</v>
      </c>
      <c r="I48" s="20">
        <v>36401000000</v>
      </c>
      <c r="J48" s="21" t="s">
        <v>118</v>
      </c>
      <c r="K48" s="31">
        <f>6949.15*1.18</f>
        <v>8199.9969999999994</v>
      </c>
      <c r="L48" s="48">
        <v>42095</v>
      </c>
      <c r="M48" s="28">
        <v>42156</v>
      </c>
      <c r="N48" s="21" t="s">
        <v>72</v>
      </c>
      <c r="O48" s="29" t="s">
        <v>73</v>
      </c>
    </row>
    <row r="49" spans="1:15" s="4" customFormat="1" ht="45" x14ac:dyDescent="0.25">
      <c r="A49" s="20">
        <v>26</v>
      </c>
      <c r="B49" s="34">
        <v>45</v>
      </c>
      <c r="C49" s="50">
        <v>4500000</v>
      </c>
      <c r="D49" s="21" t="s">
        <v>52</v>
      </c>
      <c r="E49" s="21" t="s">
        <v>45</v>
      </c>
      <c r="F49" s="20">
        <v>876</v>
      </c>
      <c r="G49" s="20" t="s">
        <v>46</v>
      </c>
      <c r="H49" s="20">
        <v>1</v>
      </c>
      <c r="I49" s="24">
        <v>36226</v>
      </c>
      <c r="J49" s="20" t="s">
        <v>53</v>
      </c>
      <c r="K49" s="31">
        <f>1125*1.18</f>
        <v>1327.5</v>
      </c>
      <c r="L49" s="48">
        <v>42095</v>
      </c>
      <c r="M49" s="28">
        <v>42217</v>
      </c>
      <c r="N49" s="20" t="s">
        <v>72</v>
      </c>
      <c r="O49" s="20" t="s">
        <v>77</v>
      </c>
    </row>
    <row r="50" spans="1:15" s="4" customFormat="1" ht="45" x14ac:dyDescent="0.25">
      <c r="A50" s="20">
        <v>27</v>
      </c>
      <c r="B50" s="34">
        <v>45</v>
      </c>
      <c r="C50" s="34">
        <v>4530870</v>
      </c>
      <c r="D50" s="21" t="s">
        <v>44</v>
      </c>
      <c r="E50" s="21" t="s">
        <v>45</v>
      </c>
      <c r="F50" s="21">
        <v>876</v>
      </c>
      <c r="G50" s="21" t="s">
        <v>46</v>
      </c>
      <c r="H50" s="21">
        <v>1</v>
      </c>
      <c r="I50" s="20">
        <v>36</v>
      </c>
      <c r="J50" s="20" t="s">
        <v>47</v>
      </c>
      <c r="K50" s="31">
        <f>1600.5*1.18</f>
        <v>1888.59</v>
      </c>
      <c r="L50" s="48">
        <v>42095</v>
      </c>
      <c r="M50" s="28">
        <v>42339</v>
      </c>
      <c r="N50" s="21" t="s">
        <v>72</v>
      </c>
      <c r="O50" s="21" t="s">
        <v>77</v>
      </c>
    </row>
    <row r="51" spans="1:15" s="4" customFormat="1" ht="75" x14ac:dyDescent="0.25">
      <c r="A51" s="20">
        <v>28</v>
      </c>
      <c r="B51" s="56">
        <v>36</v>
      </c>
      <c r="C51" s="50">
        <v>3610000</v>
      </c>
      <c r="D51" s="21" t="s">
        <v>49</v>
      </c>
      <c r="E51" s="21" t="s">
        <v>50</v>
      </c>
      <c r="F51" s="21">
        <v>876</v>
      </c>
      <c r="G51" s="21" t="s">
        <v>46</v>
      </c>
      <c r="H51" s="20" t="s">
        <v>109</v>
      </c>
      <c r="I51" s="24">
        <v>36</v>
      </c>
      <c r="J51" s="21" t="s">
        <v>47</v>
      </c>
      <c r="K51" s="31">
        <f>1522.55447449153*1.18</f>
        <v>1796.6142799000054</v>
      </c>
      <c r="L51" s="48">
        <v>42095</v>
      </c>
      <c r="M51" s="28">
        <v>42339</v>
      </c>
      <c r="N51" s="20" t="s">
        <v>75</v>
      </c>
      <c r="O51" s="20" t="s">
        <v>77</v>
      </c>
    </row>
    <row r="52" spans="1:15" s="4" customFormat="1" ht="75" x14ac:dyDescent="0.25">
      <c r="A52" s="20">
        <v>29</v>
      </c>
      <c r="B52" s="34">
        <v>29</v>
      </c>
      <c r="C52" s="50">
        <v>2925253</v>
      </c>
      <c r="D52" s="21" t="s">
        <v>51</v>
      </c>
      <c r="E52" s="21" t="s">
        <v>50</v>
      </c>
      <c r="F52" s="21">
        <v>796</v>
      </c>
      <c r="G52" s="21" t="s">
        <v>39</v>
      </c>
      <c r="H52" s="20">
        <v>42</v>
      </c>
      <c r="I52" s="24">
        <v>36</v>
      </c>
      <c r="J52" s="21" t="s">
        <v>47</v>
      </c>
      <c r="K52" s="31">
        <f>706.390169491526*1.18</f>
        <v>833.54040000000055</v>
      </c>
      <c r="L52" s="48">
        <v>42095</v>
      </c>
      <c r="M52" s="28">
        <v>42278</v>
      </c>
      <c r="N52" s="20" t="s">
        <v>75</v>
      </c>
      <c r="O52" s="20" t="s">
        <v>77</v>
      </c>
    </row>
    <row r="53" spans="1:15" s="4" customFormat="1" ht="30" x14ac:dyDescent="0.25">
      <c r="A53" s="20">
        <v>30</v>
      </c>
      <c r="B53" s="20">
        <v>45</v>
      </c>
      <c r="C53" s="20">
        <v>4500000</v>
      </c>
      <c r="D53" s="37" t="s">
        <v>101</v>
      </c>
      <c r="E53" s="21" t="s">
        <v>99</v>
      </c>
      <c r="F53" s="39" t="s">
        <v>31</v>
      </c>
      <c r="G53" s="21" t="s">
        <v>32</v>
      </c>
      <c r="H53" s="20">
        <f>296.5+253.5</f>
        <v>550</v>
      </c>
      <c r="I53" s="24">
        <v>36424</v>
      </c>
      <c r="J53" s="20" t="s">
        <v>54</v>
      </c>
      <c r="K53" s="31">
        <f>6000*1.18</f>
        <v>7080</v>
      </c>
      <c r="L53" s="48">
        <v>42095</v>
      </c>
      <c r="M53" s="28">
        <v>42248</v>
      </c>
      <c r="N53" s="20" t="s">
        <v>75</v>
      </c>
      <c r="O53" s="20" t="s">
        <v>77</v>
      </c>
    </row>
    <row r="54" spans="1:15" s="4" customFormat="1" ht="30" customHeight="1" x14ac:dyDescent="0.25">
      <c r="A54" s="20">
        <v>31</v>
      </c>
      <c r="B54" s="21">
        <v>45</v>
      </c>
      <c r="C54" s="21">
        <v>4500000</v>
      </c>
      <c r="D54" s="21" t="s">
        <v>40</v>
      </c>
      <c r="E54" s="21" t="s">
        <v>99</v>
      </c>
      <c r="F54" s="39" t="s">
        <v>31</v>
      </c>
      <c r="G54" s="21" t="s">
        <v>32</v>
      </c>
      <c r="H54" s="21">
        <v>405</v>
      </c>
      <c r="I54" s="54">
        <v>36236</v>
      </c>
      <c r="J54" s="21" t="s">
        <v>102</v>
      </c>
      <c r="K54" s="31">
        <f>2000*1.18</f>
        <v>2360</v>
      </c>
      <c r="L54" s="48">
        <v>42095</v>
      </c>
      <c r="M54" s="28">
        <v>42186</v>
      </c>
      <c r="N54" s="30" t="s">
        <v>75</v>
      </c>
      <c r="O54" s="21" t="s">
        <v>77</v>
      </c>
    </row>
    <row r="55" spans="1:15" s="4" customFormat="1" ht="30" x14ac:dyDescent="0.25">
      <c r="A55" s="20">
        <v>32</v>
      </c>
      <c r="B55" s="20" t="s">
        <v>168</v>
      </c>
      <c r="C55" s="20">
        <v>7010020</v>
      </c>
      <c r="D55" s="21" t="s">
        <v>33</v>
      </c>
      <c r="E55" s="21" t="s">
        <v>30</v>
      </c>
      <c r="F55" s="39" t="s">
        <v>31</v>
      </c>
      <c r="G55" s="21" t="s">
        <v>32</v>
      </c>
      <c r="H55" s="21">
        <v>1139.0999999999999</v>
      </c>
      <c r="I55" s="54">
        <v>36230501</v>
      </c>
      <c r="J55" s="21" t="s">
        <v>34</v>
      </c>
      <c r="K55" s="31">
        <f>2061879.4/1000</f>
        <v>2061.8793999999998</v>
      </c>
      <c r="L55" s="48">
        <v>42095</v>
      </c>
      <c r="M55" s="28">
        <v>42430</v>
      </c>
      <c r="N55" s="21" t="s">
        <v>159</v>
      </c>
      <c r="O55" s="21" t="s">
        <v>77</v>
      </c>
    </row>
    <row r="56" spans="1:15" s="4" customFormat="1" ht="30" x14ac:dyDescent="0.25">
      <c r="A56" s="20">
        <v>33</v>
      </c>
      <c r="B56" s="20" t="s">
        <v>169</v>
      </c>
      <c r="C56" s="20">
        <v>5030000</v>
      </c>
      <c r="D56" s="20" t="s">
        <v>19</v>
      </c>
      <c r="E56" s="21" t="s">
        <v>23</v>
      </c>
      <c r="F56" s="20">
        <v>796</v>
      </c>
      <c r="G56" s="20" t="s">
        <v>22</v>
      </c>
      <c r="H56" s="20" t="s">
        <v>109</v>
      </c>
      <c r="I56" s="24">
        <v>36401</v>
      </c>
      <c r="J56" s="21" t="s">
        <v>118</v>
      </c>
      <c r="K56" s="31">
        <f>1029.5*1.18</f>
        <v>1214.81</v>
      </c>
      <c r="L56" s="48">
        <v>42095</v>
      </c>
      <c r="M56" s="28">
        <v>42339</v>
      </c>
      <c r="N56" s="20" t="s">
        <v>75</v>
      </c>
      <c r="O56" s="20" t="s">
        <v>73</v>
      </c>
    </row>
    <row r="57" spans="1:15" s="4" customFormat="1" ht="138.75" customHeight="1" x14ac:dyDescent="0.25">
      <c r="A57" s="20">
        <v>34</v>
      </c>
      <c r="B57" s="23" t="s">
        <v>170</v>
      </c>
      <c r="C57" s="23">
        <v>8510000</v>
      </c>
      <c r="D57" s="38" t="s">
        <v>24</v>
      </c>
      <c r="E57" s="21" t="s">
        <v>110</v>
      </c>
      <c r="F57" s="22">
        <v>792</v>
      </c>
      <c r="G57" s="23" t="s">
        <v>25</v>
      </c>
      <c r="H57" s="23">
        <v>337</v>
      </c>
      <c r="I57" s="24">
        <v>36401</v>
      </c>
      <c r="J57" s="21" t="s">
        <v>118</v>
      </c>
      <c r="K57" s="31">
        <f>572.9</f>
        <v>572.9</v>
      </c>
      <c r="L57" s="48">
        <v>42095</v>
      </c>
      <c r="M57" s="28">
        <v>42339</v>
      </c>
      <c r="N57" s="21" t="s">
        <v>75</v>
      </c>
      <c r="O57" s="20" t="s">
        <v>77</v>
      </c>
    </row>
    <row r="58" spans="1:15" s="4" customFormat="1" ht="16.5" customHeight="1" x14ac:dyDescent="0.25">
      <c r="A58" s="57">
        <v>42125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9"/>
    </row>
    <row r="59" spans="1:15" s="4" customFormat="1" ht="30" x14ac:dyDescent="0.25">
      <c r="A59" s="20">
        <v>35</v>
      </c>
      <c r="B59" s="20" t="s">
        <v>168</v>
      </c>
      <c r="C59" s="20">
        <v>7010020</v>
      </c>
      <c r="D59" s="21" t="s">
        <v>35</v>
      </c>
      <c r="E59" s="21" t="s">
        <v>30</v>
      </c>
      <c r="F59" s="39" t="s">
        <v>31</v>
      </c>
      <c r="G59" s="21" t="s">
        <v>32</v>
      </c>
      <c r="H59" s="21">
        <v>649.4</v>
      </c>
      <c r="I59" s="21">
        <v>45</v>
      </c>
      <c r="J59" s="21" t="s">
        <v>48</v>
      </c>
      <c r="K59" s="31">
        <f>38422397/1000</f>
        <v>38422.396999999997</v>
      </c>
      <c r="L59" s="48">
        <v>42125</v>
      </c>
      <c r="M59" s="28">
        <v>42461</v>
      </c>
      <c r="N59" s="21" t="s">
        <v>159</v>
      </c>
      <c r="O59" s="21" t="s">
        <v>77</v>
      </c>
    </row>
    <row r="60" spans="1:15" s="4" customFormat="1" ht="45" x14ac:dyDescent="0.25">
      <c r="A60" s="20">
        <v>36</v>
      </c>
      <c r="B60" s="17" t="s">
        <v>163</v>
      </c>
      <c r="C60" s="17">
        <v>4530060</v>
      </c>
      <c r="D60" s="21" t="s">
        <v>95</v>
      </c>
      <c r="E60" s="33" t="s">
        <v>76</v>
      </c>
      <c r="F60" s="20">
        <v>876</v>
      </c>
      <c r="G60" s="20" t="s">
        <v>46</v>
      </c>
      <c r="H60" s="17">
        <v>1</v>
      </c>
      <c r="I60" s="20">
        <v>36401000000</v>
      </c>
      <c r="J60" s="21" t="s">
        <v>118</v>
      </c>
      <c r="K60" s="31">
        <f>4086*1.18</f>
        <v>4821.4799999999996</v>
      </c>
      <c r="L60" s="48">
        <v>42125</v>
      </c>
      <c r="M60" s="28">
        <v>42309</v>
      </c>
      <c r="N60" s="21" t="s">
        <v>72</v>
      </c>
      <c r="O60" s="20" t="s">
        <v>73</v>
      </c>
    </row>
    <row r="61" spans="1:15" s="4" customFormat="1" ht="30" x14ac:dyDescent="0.25">
      <c r="A61" s="20">
        <v>37</v>
      </c>
      <c r="B61" s="20">
        <v>45</v>
      </c>
      <c r="C61" s="20">
        <v>4520000</v>
      </c>
      <c r="D61" s="37" t="s">
        <v>100</v>
      </c>
      <c r="E61" s="21" t="s">
        <v>99</v>
      </c>
      <c r="F61" s="39" t="s">
        <v>31</v>
      </c>
      <c r="G61" s="21" t="s">
        <v>32</v>
      </c>
      <c r="H61" s="20">
        <v>60</v>
      </c>
      <c r="I61" s="24">
        <v>36224</v>
      </c>
      <c r="J61" s="24" t="s">
        <v>68</v>
      </c>
      <c r="K61" s="31">
        <f>3000*1.18</f>
        <v>3540</v>
      </c>
      <c r="L61" s="48">
        <v>42125</v>
      </c>
      <c r="M61" s="28">
        <v>42278</v>
      </c>
      <c r="N61" s="20" t="s">
        <v>75</v>
      </c>
      <c r="O61" s="20" t="s">
        <v>77</v>
      </c>
    </row>
    <row r="62" spans="1:15" s="4" customFormat="1" ht="45" x14ac:dyDescent="0.25">
      <c r="A62" s="20">
        <v>38</v>
      </c>
      <c r="B62" s="34" t="s">
        <v>178</v>
      </c>
      <c r="C62" s="50">
        <v>5200250</v>
      </c>
      <c r="D62" s="21" t="s">
        <v>158</v>
      </c>
      <c r="E62" s="21" t="s">
        <v>45</v>
      </c>
      <c r="F62" s="21">
        <v>876</v>
      </c>
      <c r="G62" s="21" t="s">
        <v>46</v>
      </c>
      <c r="H62" s="20" t="s">
        <v>109</v>
      </c>
      <c r="I62" s="24">
        <v>36</v>
      </c>
      <c r="J62" s="21" t="s">
        <v>47</v>
      </c>
      <c r="K62" s="31">
        <f>715.432542372881*1.18</f>
        <v>844.21039999999959</v>
      </c>
      <c r="L62" s="48">
        <v>42125</v>
      </c>
      <c r="M62" s="28">
        <v>42278</v>
      </c>
      <c r="N62" s="20" t="s">
        <v>75</v>
      </c>
      <c r="O62" s="20" t="s">
        <v>77</v>
      </c>
    </row>
    <row r="63" spans="1:15" s="4" customFormat="1" ht="45" x14ac:dyDescent="0.25">
      <c r="A63" s="20">
        <v>39</v>
      </c>
      <c r="B63" s="34" t="s">
        <v>178</v>
      </c>
      <c r="C63" s="50">
        <v>5200250</v>
      </c>
      <c r="D63" s="21" t="s">
        <v>114</v>
      </c>
      <c r="E63" s="21" t="s">
        <v>45</v>
      </c>
      <c r="F63" s="20">
        <v>796</v>
      </c>
      <c r="G63" s="20" t="s">
        <v>39</v>
      </c>
      <c r="H63" s="20">
        <v>17</v>
      </c>
      <c r="I63" s="24">
        <v>36</v>
      </c>
      <c r="J63" s="21" t="s">
        <v>47</v>
      </c>
      <c r="K63" s="31">
        <f>1084.89029661017*1.18</f>
        <v>1280.1705500000005</v>
      </c>
      <c r="L63" s="48">
        <v>42125</v>
      </c>
      <c r="M63" s="28">
        <v>42278</v>
      </c>
      <c r="N63" s="20" t="s">
        <v>75</v>
      </c>
      <c r="O63" s="20" t="s">
        <v>77</v>
      </c>
    </row>
    <row r="64" spans="1:15" s="4" customFormat="1" ht="30" x14ac:dyDescent="0.25">
      <c r="A64" s="20">
        <v>40</v>
      </c>
      <c r="B64" s="17" t="s">
        <v>164</v>
      </c>
      <c r="C64" s="17">
        <v>7260000</v>
      </c>
      <c r="D64" s="21" t="s">
        <v>85</v>
      </c>
      <c r="E64" s="33" t="s">
        <v>76</v>
      </c>
      <c r="F64" s="20">
        <v>876</v>
      </c>
      <c r="G64" s="20" t="s">
        <v>46</v>
      </c>
      <c r="H64" s="17">
        <v>1</v>
      </c>
      <c r="I64" s="20">
        <v>36401000000</v>
      </c>
      <c r="J64" s="21" t="s">
        <v>118</v>
      </c>
      <c r="K64" s="31">
        <f>1500*1.18</f>
        <v>1770</v>
      </c>
      <c r="L64" s="48">
        <v>42125</v>
      </c>
      <c r="M64" s="28">
        <v>42339</v>
      </c>
      <c r="N64" s="21" t="s">
        <v>72</v>
      </c>
      <c r="O64" s="20" t="s">
        <v>77</v>
      </c>
    </row>
    <row r="65" spans="1:15" s="4" customFormat="1" ht="30" x14ac:dyDescent="0.25">
      <c r="A65" s="20">
        <v>41</v>
      </c>
      <c r="B65" s="17" t="s">
        <v>164</v>
      </c>
      <c r="C65" s="17">
        <v>7260000</v>
      </c>
      <c r="D65" s="34" t="s">
        <v>87</v>
      </c>
      <c r="E65" s="33" t="s">
        <v>76</v>
      </c>
      <c r="F65" s="20">
        <v>876</v>
      </c>
      <c r="G65" s="20" t="s">
        <v>46</v>
      </c>
      <c r="H65" s="17" t="s">
        <v>109</v>
      </c>
      <c r="I65" s="20">
        <v>36401000000</v>
      </c>
      <c r="J65" s="21" t="s">
        <v>118</v>
      </c>
      <c r="K65" s="31">
        <f>1500*1.18</f>
        <v>1770</v>
      </c>
      <c r="L65" s="48">
        <v>42125</v>
      </c>
      <c r="M65" s="28">
        <v>42339</v>
      </c>
      <c r="N65" s="21" t="s">
        <v>72</v>
      </c>
      <c r="O65" s="20" t="s">
        <v>77</v>
      </c>
    </row>
    <row r="66" spans="1:15" s="4" customFormat="1" ht="30" x14ac:dyDescent="0.25">
      <c r="A66" s="20">
        <v>42</v>
      </c>
      <c r="B66" s="17" t="s">
        <v>164</v>
      </c>
      <c r="C66" s="17">
        <v>7260000</v>
      </c>
      <c r="D66" s="34" t="s">
        <v>154</v>
      </c>
      <c r="E66" s="33" t="s">
        <v>76</v>
      </c>
      <c r="F66" s="20">
        <v>876</v>
      </c>
      <c r="G66" s="20" t="s">
        <v>46</v>
      </c>
      <c r="H66" s="17" t="s">
        <v>109</v>
      </c>
      <c r="I66" s="20">
        <v>36401000000</v>
      </c>
      <c r="J66" s="21" t="s">
        <v>118</v>
      </c>
      <c r="K66" s="31">
        <f>3500*1.18</f>
        <v>4130</v>
      </c>
      <c r="L66" s="48">
        <v>42125</v>
      </c>
      <c r="M66" s="28">
        <v>42339</v>
      </c>
      <c r="N66" s="21" t="s">
        <v>159</v>
      </c>
      <c r="O66" s="20" t="s">
        <v>77</v>
      </c>
    </row>
    <row r="67" spans="1:15" s="4" customFormat="1" ht="101.25" customHeight="1" x14ac:dyDescent="0.25">
      <c r="A67" s="20">
        <v>43</v>
      </c>
      <c r="B67" s="20" t="s">
        <v>172</v>
      </c>
      <c r="C67" s="20">
        <v>5010000</v>
      </c>
      <c r="D67" s="21" t="s">
        <v>146</v>
      </c>
      <c r="E67" s="21" t="s">
        <v>23</v>
      </c>
      <c r="F67" s="20">
        <v>796</v>
      </c>
      <c r="G67" s="20" t="s">
        <v>22</v>
      </c>
      <c r="H67" s="20">
        <f>17+4+1+2</f>
        <v>24</v>
      </c>
      <c r="I67" s="20">
        <v>36</v>
      </c>
      <c r="J67" s="20" t="s">
        <v>21</v>
      </c>
      <c r="K67" s="31">
        <f>4444.1*1.18+1762.7+440.7+805.8</f>
        <v>8253.2379999999994</v>
      </c>
      <c r="L67" s="48">
        <v>42125</v>
      </c>
      <c r="M67" s="28">
        <v>42248</v>
      </c>
      <c r="N67" s="20" t="s">
        <v>75</v>
      </c>
      <c r="O67" s="20" t="s">
        <v>73</v>
      </c>
    </row>
    <row r="68" spans="1:15" s="4" customFormat="1" ht="48" customHeight="1" x14ac:dyDescent="0.25">
      <c r="A68" s="20">
        <v>44</v>
      </c>
      <c r="B68" s="20" t="s">
        <v>172</v>
      </c>
      <c r="C68" s="20">
        <v>5010000</v>
      </c>
      <c r="D68" s="21" t="s">
        <v>106</v>
      </c>
      <c r="E68" s="21" t="s">
        <v>23</v>
      </c>
      <c r="F68" s="20">
        <v>797</v>
      </c>
      <c r="G68" s="20" t="s">
        <v>22</v>
      </c>
      <c r="H68" s="20">
        <v>2</v>
      </c>
      <c r="I68" s="20">
        <v>36</v>
      </c>
      <c r="J68" s="20" t="s">
        <v>21</v>
      </c>
      <c r="K68" s="31">
        <f>1216.4*1.18</f>
        <v>1435.3520000000001</v>
      </c>
      <c r="L68" s="48">
        <v>42125</v>
      </c>
      <c r="M68" s="28">
        <v>42248</v>
      </c>
      <c r="N68" s="20" t="s">
        <v>75</v>
      </c>
      <c r="O68" s="20" t="s">
        <v>73</v>
      </c>
    </row>
    <row r="69" spans="1:15" s="4" customFormat="1" ht="30" x14ac:dyDescent="0.25">
      <c r="A69" s="20">
        <v>45</v>
      </c>
      <c r="B69" s="20" t="s">
        <v>172</v>
      </c>
      <c r="C69" s="20">
        <v>5010000</v>
      </c>
      <c r="D69" s="21" t="s">
        <v>107</v>
      </c>
      <c r="E69" s="21" t="s">
        <v>23</v>
      </c>
      <c r="F69" s="20">
        <v>798</v>
      </c>
      <c r="G69" s="20" t="s">
        <v>22</v>
      </c>
      <c r="H69" s="20">
        <v>1</v>
      </c>
      <c r="I69" s="20">
        <v>36</v>
      </c>
      <c r="J69" s="20" t="s">
        <v>21</v>
      </c>
      <c r="K69" s="31">
        <f>480.2*1.18</f>
        <v>566.63599999999997</v>
      </c>
      <c r="L69" s="48">
        <v>42125</v>
      </c>
      <c r="M69" s="28">
        <v>42248</v>
      </c>
      <c r="N69" s="20" t="s">
        <v>75</v>
      </c>
      <c r="O69" s="20" t="s">
        <v>73</v>
      </c>
    </row>
    <row r="70" spans="1:15" s="4" customFormat="1" ht="30" x14ac:dyDescent="0.25">
      <c r="A70" s="20">
        <v>46</v>
      </c>
      <c r="B70" s="21">
        <v>45</v>
      </c>
      <c r="C70" s="20">
        <v>4500000</v>
      </c>
      <c r="D70" s="21" t="s">
        <v>41</v>
      </c>
      <c r="E70" s="21" t="s">
        <v>99</v>
      </c>
      <c r="F70" s="39" t="s">
        <v>31</v>
      </c>
      <c r="G70" s="21" t="s">
        <v>32</v>
      </c>
      <c r="H70" s="21">
        <v>260</v>
      </c>
      <c r="I70" s="54">
        <v>36246</v>
      </c>
      <c r="J70" s="21" t="s">
        <v>103</v>
      </c>
      <c r="K70" s="31">
        <f>1500*1.18</f>
        <v>1770</v>
      </c>
      <c r="L70" s="48">
        <v>42125</v>
      </c>
      <c r="M70" s="28">
        <v>42217</v>
      </c>
      <c r="N70" s="21" t="s">
        <v>75</v>
      </c>
      <c r="O70" s="21" t="s">
        <v>77</v>
      </c>
    </row>
    <row r="71" spans="1:15" s="4" customFormat="1" ht="30" x14ac:dyDescent="0.25">
      <c r="A71" s="20">
        <v>47</v>
      </c>
      <c r="B71" s="20" t="s">
        <v>172</v>
      </c>
      <c r="C71" s="20">
        <v>5010000</v>
      </c>
      <c r="D71" s="20" t="s">
        <v>108</v>
      </c>
      <c r="E71" s="21" t="s">
        <v>23</v>
      </c>
      <c r="F71" s="20">
        <v>802</v>
      </c>
      <c r="G71" s="20" t="s">
        <v>22</v>
      </c>
      <c r="H71" s="20">
        <v>1</v>
      </c>
      <c r="I71" s="20">
        <v>36</v>
      </c>
      <c r="J71" s="20" t="s">
        <v>21</v>
      </c>
      <c r="K71" s="32">
        <f>1461.8*1.18</f>
        <v>1724.9239999999998</v>
      </c>
      <c r="L71" s="48">
        <v>42125</v>
      </c>
      <c r="M71" s="28">
        <v>42248</v>
      </c>
      <c r="N71" s="20" t="s">
        <v>75</v>
      </c>
      <c r="O71" s="20" t="s">
        <v>73</v>
      </c>
    </row>
    <row r="72" spans="1:15" s="4" customFormat="1" x14ac:dyDescent="0.25">
      <c r="A72" s="57">
        <v>42156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9"/>
    </row>
    <row r="73" spans="1:15" s="4" customFormat="1" ht="30" x14ac:dyDescent="0.25">
      <c r="A73" s="20">
        <v>48</v>
      </c>
      <c r="B73" s="21" t="s">
        <v>184</v>
      </c>
      <c r="C73" s="21" t="s">
        <v>181</v>
      </c>
      <c r="D73" s="21" t="s">
        <v>63</v>
      </c>
      <c r="E73" s="21" t="s">
        <v>64</v>
      </c>
      <c r="F73" s="21">
        <v>384</v>
      </c>
      <c r="G73" s="21" t="s">
        <v>46</v>
      </c>
      <c r="H73" s="20">
        <v>1</v>
      </c>
      <c r="I73" s="24">
        <v>36401</v>
      </c>
      <c r="J73" s="21" t="s">
        <v>118</v>
      </c>
      <c r="K73" s="31">
        <f>5770.8*1.18</f>
        <v>6809.5439999999999</v>
      </c>
      <c r="L73" s="48">
        <v>42156</v>
      </c>
      <c r="M73" s="28">
        <v>42339</v>
      </c>
      <c r="N73" s="20" t="s">
        <v>72</v>
      </c>
      <c r="O73" s="20" t="s">
        <v>73</v>
      </c>
    </row>
    <row r="74" spans="1:15" s="4" customFormat="1" ht="105" x14ac:dyDescent="0.25">
      <c r="A74" s="20">
        <v>49</v>
      </c>
      <c r="B74" s="17" t="s">
        <v>166</v>
      </c>
      <c r="C74" s="17">
        <v>7260000</v>
      </c>
      <c r="D74" s="34" t="s">
        <v>80</v>
      </c>
      <c r="E74" s="33" t="s">
        <v>76</v>
      </c>
      <c r="F74" s="20">
        <v>876</v>
      </c>
      <c r="G74" s="20" t="s">
        <v>46</v>
      </c>
      <c r="H74" s="17" t="s">
        <v>109</v>
      </c>
      <c r="I74" s="20">
        <v>36401000000</v>
      </c>
      <c r="J74" s="21" t="s">
        <v>118</v>
      </c>
      <c r="K74" s="31">
        <f>7000</f>
        <v>7000</v>
      </c>
      <c r="L74" s="48">
        <v>42156</v>
      </c>
      <c r="M74" s="28">
        <v>42339</v>
      </c>
      <c r="N74" s="21" t="s">
        <v>72</v>
      </c>
      <c r="O74" s="20" t="s">
        <v>77</v>
      </c>
    </row>
    <row r="75" spans="1:15" s="4" customFormat="1" x14ac:dyDescent="0.25">
      <c r="A75" s="20">
        <v>50</v>
      </c>
      <c r="B75" s="17" t="s">
        <v>171</v>
      </c>
      <c r="C75" s="17">
        <v>7260000</v>
      </c>
      <c r="D75" s="34" t="s">
        <v>88</v>
      </c>
      <c r="E75" s="33" t="s">
        <v>76</v>
      </c>
      <c r="F75" s="20">
        <v>876</v>
      </c>
      <c r="G75" s="20" t="s">
        <v>46</v>
      </c>
      <c r="H75" s="17" t="s">
        <v>109</v>
      </c>
      <c r="I75" s="20">
        <v>36401000000</v>
      </c>
      <c r="J75" s="20" t="s">
        <v>20</v>
      </c>
      <c r="K75" s="31">
        <f>900*1.18</f>
        <v>1062</v>
      </c>
      <c r="L75" s="48">
        <v>42156</v>
      </c>
      <c r="M75" s="28">
        <v>42339</v>
      </c>
      <c r="N75" s="21" t="s">
        <v>159</v>
      </c>
      <c r="O75" s="20" t="s">
        <v>77</v>
      </c>
    </row>
    <row r="76" spans="1:15" s="4" customFormat="1" ht="60" x14ac:dyDescent="0.25">
      <c r="A76" s="20">
        <v>51</v>
      </c>
      <c r="B76" s="55" t="s">
        <v>186</v>
      </c>
      <c r="C76" s="17">
        <v>4530000</v>
      </c>
      <c r="D76" s="21" t="s">
        <v>94</v>
      </c>
      <c r="E76" s="33" t="s">
        <v>76</v>
      </c>
      <c r="F76" s="20">
        <v>876</v>
      </c>
      <c r="G76" s="20" t="s">
        <v>46</v>
      </c>
      <c r="H76" s="17">
        <v>1</v>
      </c>
      <c r="I76" s="20">
        <v>36401000000</v>
      </c>
      <c r="J76" s="20" t="s">
        <v>20</v>
      </c>
      <c r="K76" s="31">
        <f>7627*1.18</f>
        <v>8999.8599999999988</v>
      </c>
      <c r="L76" s="48">
        <v>42156</v>
      </c>
      <c r="M76" s="28">
        <v>42461</v>
      </c>
      <c r="N76" s="21" t="s">
        <v>72</v>
      </c>
      <c r="O76" s="20" t="s">
        <v>73</v>
      </c>
    </row>
    <row r="77" spans="1:15" s="4" customFormat="1" ht="75" x14ac:dyDescent="0.25">
      <c r="A77" s="20">
        <v>52</v>
      </c>
      <c r="B77" s="21" t="s">
        <v>179</v>
      </c>
      <c r="C77" s="21">
        <v>6512020</v>
      </c>
      <c r="D77" s="21" t="s">
        <v>115</v>
      </c>
      <c r="E77" s="21" t="s">
        <v>124</v>
      </c>
      <c r="F77" s="21">
        <v>384</v>
      </c>
      <c r="G77" s="21" t="s">
        <v>117</v>
      </c>
      <c r="H77" s="26">
        <v>1000000</v>
      </c>
      <c r="I77" s="20">
        <v>36401000000</v>
      </c>
      <c r="J77" s="21" t="s">
        <v>118</v>
      </c>
      <c r="K77" s="27" t="s">
        <v>123</v>
      </c>
      <c r="L77" s="48">
        <v>42156</v>
      </c>
      <c r="M77" s="28">
        <v>42522</v>
      </c>
      <c r="N77" s="21" t="s">
        <v>159</v>
      </c>
      <c r="O77" s="21" t="s">
        <v>77</v>
      </c>
    </row>
    <row r="78" spans="1:15" s="4" customFormat="1" x14ac:dyDescent="0.25">
      <c r="A78" s="57">
        <v>42186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9"/>
    </row>
    <row r="79" spans="1:15" s="4" customFormat="1" x14ac:dyDescent="0.25">
      <c r="A79" s="20">
        <v>53</v>
      </c>
      <c r="B79" s="17" t="s">
        <v>167</v>
      </c>
      <c r="C79" s="17">
        <v>5235020</v>
      </c>
      <c r="D79" s="34" t="s">
        <v>81</v>
      </c>
      <c r="E79" s="33" t="s">
        <v>76</v>
      </c>
      <c r="F79" s="20">
        <v>796</v>
      </c>
      <c r="G79" s="20" t="s">
        <v>39</v>
      </c>
      <c r="H79" s="25">
        <v>12000</v>
      </c>
      <c r="I79" s="20">
        <v>36401000000</v>
      </c>
      <c r="J79" s="21" t="s">
        <v>118</v>
      </c>
      <c r="K79" s="31">
        <f>28564</f>
        <v>28564</v>
      </c>
      <c r="L79" s="48">
        <v>42186</v>
      </c>
      <c r="M79" s="28">
        <v>42339</v>
      </c>
      <c r="N79" s="21" t="s">
        <v>75</v>
      </c>
      <c r="O79" s="20" t="s">
        <v>77</v>
      </c>
    </row>
    <row r="80" spans="1:15" s="4" customFormat="1" ht="30" customHeight="1" x14ac:dyDescent="0.25">
      <c r="A80" s="20">
        <v>54</v>
      </c>
      <c r="B80" s="17" t="s">
        <v>164</v>
      </c>
      <c r="C80" s="17">
        <v>7260000</v>
      </c>
      <c r="D80" s="34" t="s">
        <v>155</v>
      </c>
      <c r="E80" s="33" t="s">
        <v>76</v>
      </c>
      <c r="F80" s="20">
        <v>876</v>
      </c>
      <c r="G80" s="20" t="s">
        <v>46</v>
      </c>
      <c r="H80" s="17" t="s">
        <v>109</v>
      </c>
      <c r="I80" s="20">
        <v>36401000000</v>
      </c>
      <c r="J80" s="21" t="s">
        <v>118</v>
      </c>
      <c r="K80" s="31">
        <f>3500*1.18</f>
        <v>4130</v>
      </c>
      <c r="L80" s="48">
        <v>42186</v>
      </c>
      <c r="M80" s="28">
        <v>42339</v>
      </c>
      <c r="N80" s="21" t="s">
        <v>159</v>
      </c>
      <c r="O80" s="20" t="s">
        <v>77</v>
      </c>
    </row>
    <row r="81" spans="1:15" s="4" customFormat="1" ht="60" x14ac:dyDescent="0.25">
      <c r="A81" s="20">
        <v>55</v>
      </c>
      <c r="B81" s="17" t="s">
        <v>173</v>
      </c>
      <c r="C81" s="17">
        <v>7260000</v>
      </c>
      <c r="D81" s="34" t="s">
        <v>83</v>
      </c>
      <c r="E81" s="33" t="s">
        <v>76</v>
      </c>
      <c r="F81" s="20">
        <v>877</v>
      </c>
      <c r="G81" s="20" t="s">
        <v>46</v>
      </c>
      <c r="H81" s="17">
        <v>1</v>
      </c>
      <c r="I81" s="20">
        <v>36401000000</v>
      </c>
      <c r="J81" s="21" t="s">
        <v>118</v>
      </c>
      <c r="K81" s="31">
        <f>525*1.18</f>
        <v>619.5</v>
      </c>
      <c r="L81" s="48">
        <v>42186</v>
      </c>
      <c r="M81" s="28">
        <v>42278</v>
      </c>
      <c r="N81" s="21" t="s">
        <v>159</v>
      </c>
      <c r="O81" s="20" t="s">
        <v>77</v>
      </c>
    </row>
    <row r="82" spans="1:15" s="4" customFormat="1" ht="30" x14ac:dyDescent="0.25">
      <c r="A82" s="20">
        <v>56</v>
      </c>
      <c r="B82" s="17" t="s">
        <v>171</v>
      </c>
      <c r="C82" s="17">
        <v>7260000</v>
      </c>
      <c r="D82" s="34" t="s">
        <v>84</v>
      </c>
      <c r="E82" s="33" t="s">
        <v>76</v>
      </c>
      <c r="F82" s="20">
        <v>876</v>
      </c>
      <c r="G82" s="20" t="s">
        <v>46</v>
      </c>
      <c r="H82" s="17" t="s">
        <v>109</v>
      </c>
      <c r="I82" s="20">
        <v>36401000000</v>
      </c>
      <c r="J82" s="21" t="s">
        <v>118</v>
      </c>
      <c r="K82" s="31">
        <f>825*1.18</f>
        <v>973.5</v>
      </c>
      <c r="L82" s="48">
        <v>42186</v>
      </c>
      <c r="M82" s="28">
        <v>42339</v>
      </c>
      <c r="N82" s="21" t="s">
        <v>159</v>
      </c>
      <c r="O82" s="20" t="s">
        <v>77</v>
      </c>
    </row>
    <row r="83" spans="1:15" s="4" customFormat="1" ht="45" x14ac:dyDescent="0.25">
      <c r="A83" s="20">
        <v>57</v>
      </c>
      <c r="B83" s="17" t="s">
        <v>173</v>
      </c>
      <c r="C83" s="17">
        <v>7260000</v>
      </c>
      <c r="D83" s="34" t="s">
        <v>89</v>
      </c>
      <c r="E83" s="33" t="s">
        <v>76</v>
      </c>
      <c r="F83" s="20">
        <v>876</v>
      </c>
      <c r="G83" s="20" t="s">
        <v>46</v>
      </c>
      <c r="H83" s="17" t="s">
        <v>109</v>
      </c>
      <c r="I83" s="20">
        <v>36401000000</v>
      </c>
      <c r="J83" s="21" t="s">
        <v>118</v>
      </c>
      <c r="K83" s="31">
        <f>2000*1.18</f>
        <v>2360</v>
      </c>
      <c r="L83" s="48">
        <v>42186</v>
      </c>
      <c r="M83" s="28">
        <v>42339</v>
      </c>
      <c r="N83" s="21" t="s">
        <v>159</v>
      </c>
      <c r="O83" s="20" t="s">
        <v>77</v>
      </c>
    </row>
    <row r="84" spans="1:15" s="4" customFormat="1" ht="45" x14ac:dyDescent="0.25">
      <c r="A84" s="20">
        <v>58</v>
      </c>
      <c r="B84" s="55" t="s">
        <v>187</v>
      </c>
      <c r="C84" s="17">
        <v>4530000</v>
      </c>
      <c r="D84" s="21" t="s">
        <v>93</v>
      </c>
      <c r="E84" s="33" t="s">
        <v>76</v>
      </c>
      <c r="F84" s="20">
        <v>876</v>
      </c>
      <c r="G84" s="20" t="s">
        <v>46</v>
      </c>
      <c r="H84" s="17">
        <v>1</v>
      </c>
      <c r="I84" s="20">
        <v>36401000000</v>
      </c>
      <c r="J84" s="21" t="s">
        <v>118</v>
      </c>
      <c r="K84" s="31">
        <f>8474*1.18</f>
        <v>9999.32</v>
      </c>
      <c r="L84" s="48">
        <v>42186</v>
      </c>
      <c r="M84" s="28">
        <v>42309</v>
      </c>
      <c r="N84" s="21" t="s">
        <v>72</v>
      </c>
      <c r="O84" s="20" t="s">
        <v>73</v>
      </c>
    </row>
    <row r="85" spans="1:15" s="4" customFormat="1" ht="75" x14ac:dyDescent="0.25">
      <c r="A85" s="20">
        <v>59</v>
      </c>
      <c r="B85" s="21" t="s">
        <v>179</v>
      </c>
      <c r="C85" s="21">
        <v>6512020</v>
      </c>
      <c r="D85" s="21" t="s">
        <v>115</v>
      </c>
      <c r="E85" s="21" t="s">
        <v>124</v>
      </c>
      <c r="F85" s="21">
        <v>384</v>
      </c>
      <c r="G85" s="21" t="s">
        <v>117</v>
      </c>
      <c r="H85" s="26">
        <v>135000</v>
      </c>
      <c r="I85" s="20">
        <v>36401000000</v>
      </c>
      <c r="J85" s="21" t="s">
        <v>118</v>
      </c>
      <c r="K85" s="27" t="s">
        <v>123</v>
      </c>
      <c r="L85" s="48">
        <v>42186</v>
      </c>
      <c r="M85" s="28">
        <v>42552</v>
      </c>
      <c r="N85" s="21" t="s">
        <v>159</v>
      </c>
      <c r="O85" s="21" t="s">
        <v>77</v>
      </c>
    </row>
    <row r="86" spans="1:15" s="4" customFormat="1" ht="60" x14ac:dyDescent="0.25">
      <c r="A86" s="20">
        <v>60</v>
      </c>
      <c r="B86" s="21" t="s">
        <v>180</v>
      </c>
      <c r="C86" s="21">
        <v>6711090</v>
      </c>
      <c r="D86" s="21" t="s">
        <v>122</v>
      </c>
      <c r="E86" s="21" t="s">
        <v>120</v>
      </c>
      <c r="F86" s="21">
        <v>876</v>
      </c>
      <c r="G86" s="21" t="s">
        <v>121</v>
      </c>
      <c r="H86" s="21">
        <v>1</v>
      </c>
      <c r="I86" s="21">
        <v>36401000000</v>
      </c>
      <c r="J86" s="21" t="s">
        <v>118</v>
      </c>
      <c r="K86" s="27">
        <f>1209.712*1.18</f>
        <v>1427.4601599999999</v>
      </c>
      <c r="L86" s="48">
        <v>42186</v>
      </c>
      <c r="M86" s="28">
        <v>42278</v>
      </c>
      <c r="N86" s="20" t="s">
        <v>159</v>
      </c>
      <c r="O86" s="20" t="s">
        <v>77</v>
      </c>
    </row>
    <row r="87" spans="1:15" s="4" customFormat="1" x14ac:dyDescent="0.25">
      <c r="A87" s="57">
        <v>42217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9"/>
    </row>
    <row r="88" spans="1:15" s="4" customFormat="1" ht="60" x14ac:dyDescent="0.25">
      <c r="A88" s="20">
        <v>61</v>
      </c>
      <c r="B88" s="17" t="s">
        <v>173</v>
      </c>
      <c r="C88" s="17">
        <v>7260000</v>
      </c>
      <c r="D88" s="21" t="s">
        <v>97</v>
      </c>
      <c r="E88" s="33" t="s">
        <v>76</v>
      </c>
      <c r="F88" s="20">
        <v>876</v>
      </c>
      <c r="G88" s="20" t="s">
        <v>46</v>
      </c>
      <c r="H88" s="17" t="s">
        <v>109</v>
      </c>
      <c r="I88" s="20">
        <v>36401000001</v>
      </c>
      <c r="J88" s="21" t="s">
        <v>118</v>
      </c>
      <c r="K88" s="31">
        <f>1200*1.18</f>
        <v>1416</v>
      </c>
      <c r="L88" s="48">
        <v>42217</v>
      </c>
      <c r="M88" s="28">
        <v>42339</v>
      </c>
      <c r="N88" s="21" t="s">
        <v>159</v>
      </c>
      <c r="O88" s="20" t="s">
        <v>77</v>
      </c>
    </row>
    <row r="89" spans="1:15" s="4" customFormat="1" ht="75" x14ac:dyDescent="0.25">
      <c r="A89" s="20">
        <v>62</v>
      </c>
      <c r="B89" s="21" t="s">
        <v>179</v>
      </c>
      <c r="C89" s="21">
        <v>6512020</v>
      </c>
      <c r="D89" s="21" t="s">
        <v>115</v>
      </c>
      <c r="E89" s="21" t="s">
        <v>124</v>
      </c>
      <c r="F89" s="21">
        <v>384</v>
      </c>
      <c r="G89" s="21" t="s">
        <v>117</v>
      </c>
      <c r="H89" s="26">
        <v>135000</v>
      </c>
      <c r="I89" s="20">
        <v>36401000000</v>
      </c>
      <c r="J89" s="21" t="s">
        <v>118</v>
      </c>
      <c r="K89" s="27" t="s">
        <v>123</v>
      </c>
      <c r="L89" s="48">
        <v>42217</v>
      </c>
      <c r="M89" s="28">
        <v>42583</v>
      </c>
      <c r="N89" s="21" t="s">
        <v>159</v>
      </c>
      <c r="O89" s="21" t="s">
        <v>77</v>
      </c>
    </row>
    <row r="90" spans="1:15" s="4" customFormat="1" x14ac:dyDescent="0.25">
      <c r="A90" s="57">
        <v>42248</v>
      </c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9"/>
    </row>
    <row r="91" spans="1:15" s="4" customFormat="1" ht="45" x14ac:dyDescent="0.25">
      <c r="A91" s="20">
        <v>63</v>
      </c>
      <c r="B91" s="20" t="s">
        <v>174</v>
      </c>
      <c r="C91" s="20">
        <v>6613020</v>
      </c>
      <c r="D91" s="20" t="s">
        <v>188</v>
      </c>
      <c r="E91" s="21" t="s">
        <v>65</v>
      </c>
      <c r="F91" s="20">
        <v>797</v>
      </c>
      <c r="G91" s="20" t="s">
        <v>22</v>
      </c>
      <c r="H91" s="20"/>
      <c r="I91" s="20">
        <v>36</v>
      </c>
      <c r="J91" s="20" t="s">
        <v>21</v>
      </c>
      <c r="K91" s="31">
        <f>1400</f>
        <v>1400</v>
      </c>
      <c r="L91" s="48">
        <v>42248</v>
      </c>
      <c r="M91" s="28">
        <v>42644</v>
      </c>
      <c r="N91" s="20" t="s">
        <v>75</v>
      </c>
      <c r="O91" s="20" t="s">
        <v>77</v>
      </c>
    </row>
    <row r="92" spans="1:15" s="4" customFormat="1" ht="64.5" customHeight="1" x14ac:dyDescent="0.25">
      <c r="A92" s="20">
        <v>64</v>
      </c>
      <c r="B92" s="20" t="s">
        <v>165</v>
      </c>
      <c r="C92" s="20">
        <v>7412000</v>
      </c>
      <c r="D92" s="50" t="s">
        <v>26</v>
      </c>
      <c r="E92" s="21" t="s">
        <v>27</v>
      </c>
      <c r="F92" s="20">
        <v>876</v>
      </c>
      <c r="G92" s="21" t="s">
        <v>66</v>
      </c>
      <c r="H92" s="21">
        <v>1</v>
      </c>
      <c r="I92" s="24">
        <v>36401</v>
      </c>
      <c r="J92" s="21" t="s">
        <v>118</v>
      </c>
      <c r="K92" s="31">
        <f>816</f>
        <v>816</v>
      </c>
      <c r="L92" s="48">
        <v>42248</v>
      </c>
      <c r="M92" s="28">
        <v>42430</v>
      </c>
      <c r="N92" s="20" t="s">
        <v>159</v>
      </c>
      <c r="O92" s="20" t="s">
        <v>77</v>
      </c>
    </row>
    <row r="93" spans="1:15" s="4" customFormat="1" ht="45" x14ac:dyDescent="0.25">
      <c r="A93" s="20">
        <v>65</v>
      </c>
      <c r="B93" s="20" t="s">
        <v>185</v>
      </c>
      <c r="C93" s="20">
        <v>7010032</v>
      </c>
      <c r="D93" s="37" t="s">
        <v>36</v>
      </c>
      <c r="E93" s="21" t="s">
        <v>105</v>
      </c>
      <c r="F93" s="39" t="s">
        <v>31</v>
      </c>
      <c r="G93" s="21" t="s">
        <v>32</v>
      </c>
      <c r="H93" s="20">
        <v>92</v>
      </c>
      <c r="I93" s="24">
        <v>36222</v>
      </c>
      <c r="J93" s="20" t="s">
        <v>67</v>
      </c>
      <c r="K93" s="31">
        <f>481*1.18</f>
        <v>567.57999999999993</v>
      </c>
      <c r="L93" s="48">
        <v>42248</v>
      </c>
      <c r="M93" s="28">
        <v>42278</v>
      </c>
      <c r="N93" s="21" t="s">
        <v>159</v>
      </c>
      <c r="O93" s="21" t="s">
        <v>77</v>
      </c>
    </row>
    <row r="94" spans="1:15" s="4" customFormat="1" ht="60" x14ac:dyDescent="0.25">
      <c r="A94" s="20">
        <v>66</v>
      </c>
      <c r="B94" s="20" t="s">
        <v>185</v>
      </c>
      <c r="C94" s="20">
        <v>7010032</v>
      </c>
      <c r="D94" s="37" t="s">
        <v>37</v>
      </c>
      <c r="E94" s="21" t="s">
        <v>98</v>
      </c>
      <c r="F94" s="39" t="s">
        <v>31</v>
      </c>
      <c r="G94" s="21" t="s">
        <v>32</v>
      </c>
      <c r="H94" s="20">
        <v>1139.0999999999999</v>
      </c>
      <c r="I94" s="24">
        <v>36230</v>
      </c>
      <c r="J94" s="20" t="s">
        <v>34</v>
      </c>
      <c r="K94" s="31">
        <f>13220*1.18</f>
        <v>15599.599999999999</v>
      </c>
      <c r="L94" s="48">
        <v>42248</v>
      </c>
      <c r="M94" s="28">
        <v>42278</v>
      </c>
      <c r="N94" s="21" t="s">
        <v>159</v>
      </c>
      <c r="O94" s="21" t="s">
        <v>77</v>
      </c>
    </row>
    <row r="95" spans="1:15" s="4" customFormat="1" ht="120" x14ac:dyDescent="0.25">
      <c r="A95" s="20">
        <v>67</v>
      </c>
      <c r="B95" s="20" t="s">
        <v>175</v>
      </c>
      <c r="C95" s="20">
        <v>6611020</v>
      </c>
      <c r="D95" s="21" t="s">
        <v>69</v>
      </c>
      <c r="E95" s="21" t="s">
        <v>104</v>
      </c>
      <c r="F95" s="20">
        <v>792</v>
      </c>
      <c r="G95" s="20" t="s">
        <v>70</v>
      </c>
      <c r="H95" s="20">
        <v>1164</v>
      </c>
      <c r="I95" s="24">
        <v>36401</v>
      </c>
      <c r="J95" s="21" t="s">
        <v>118</v>
      </c>
      <c r="K95" s="31">
        <f>2806.94</f>
        <v>2806.94</v>
      </c>
      <c r="L95" s="48">
        <v>42248</v>
      </c>
      <c r="M95" s="28">
        <v>42644</v>
      </c>
      <c r="N95" s="20" t="s">
        <v>72</v>
      </c>
      <c r="O95" s="20" t="s">
        <v>77</v>
      </c>
    </row>
    <row r="96" spans="1:15" s="4" customFormat="1" ht="75" x14ac:dyDescent="0.25">
      <c r="A96" s="20">
        <v>68</v>
      </c>
      <c r="B96" s="21" t="s">
        <v>179</v>
      </c>
      <c r="C96" s="21">
        <v>6512020</v>
      </c>
      <c r="D96" s="21" t="s">
        <v>115</v>
      </c>
      <c r="E96" s="21" t="s">
        <v>124</v>
      </c>
      <c r="F96" s="21">
        <v>392</v>
      </c>
      <c r="G96" s="21" t="s">
        <v>117</v>
      </c>
      <c r="H96" s="26">
        <v>100000</v>
      </c>
      <c r="I96" s="20">
        <v>36401000000</v>
      </c>
      <c r="J96" s="21" t="s">
        <v>118</v>
      </c>
      <c r="K96" s="27" t="s">
        <v>123</v>
      </c>
      <c r="L96" s="48">
        <v>42248</v>
      </c>
      <c r="M96" s="28">
        <v>42614</v>
      </c>
      <c r="N96" s="21" t="s">
        <v>159</v>
      </c>
      <c r="O96" s="21" t="s">
        <v>77</v>
      </c>
    </row>
    <row r="97" spans="1:15" s="4" customFormat="1" ht="75" x14ac:dyDescent="0.25">
      <c r="A97" s="20">
        <v>69</v>
      </c>
      <c r="B97" s="21" t="s">
        <v>179</v>
      </c>
      <c r="C97" s="21">
        <v>6512020</v>
      </c>
      <c r="D97" s="21" t="s">
        <v>115</v>
      </c>
      <c r="E97" s="21" t="s">
        <v>124</v>
      </c>
      <c r="F97" s="21">
        <v>384</v>
      </c>
      <c r="G97" s="21" t="s">
        <v>117</v>
      </c>
      <c r="H97" s="26">
        <v>100000</v>
      </c>
      <c r="I97" s="20">
        <v>36401000000</v>
      </c>
      <c r="J97" s="21" t="s">
        <v>118</v>
      </c>
      <c r="K97" s="27" t="s">
        <v>123</v>
      </c>
      <c r="L97" s="48">
        <v>42248</v>
      </c>
      <c r="M97" s="28">
        <v>42614</v>
      </c>
      <c r="N97" s="21" t="s">
        <v>159</v>
      </c>
      <c r="O97" s="21" t="s">
        <v>77</v>
      </c>
    </row>
    <row r="98" spans="1:15" s="4" customFormat="1" ht="30" x14ac:dyDescent="0.25">
      <c r="A98" s="20">
        <v>70</v>
      </c>
      <c r="B98" s="17" t="s">
        <v>176</v>
      </c>
      <c r="C98" s="17">
        <v>7250020</v>
      </c>
      <c r="D98" s="35" t="s">
        <v>78</v>
      </c>
      <c r="E98" s="33" t="s">
        <v>76</v>
      </c>
      <c r="F98" s="20">
        <v>876</v>
      </c>
      <c r="G98" s="20" t="s">
        <v>46</v>
      </c>
      <c r="H98" s="17" t="s">
        <v>109</v>
      </c>
      <c r="I98" s="20">
        <v>36401000000</v>
      </c>
      <c r="J98" s="21" t="s">
        <v>118</v>
      </c>
      <c r="K98" s="31">
        <f>2218.4*1.18</f>
        <v>2617.712</v>
      </c>
      <c r="L98" s="48">
        <v>42248</v>
      </c>
      <c r="M98" s="28">
        <v>42644</v>
      </c>
      <c r="N98" s="21" t="s">
        <v>159</v>
      </c>
      <c r="O98" s="20" t="s">
        <v>77</v>
      </c>
    </row>
    <row r="99" spans="1:15" s="4" customFormat="1" x14ac:dyDescent="0.25">
      <c r="A99" s="57">
        <v>42278</v>
      </c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9"/>
    </row>
    <row r="100" spans="1:15" s="4" customFormat="1" ht="45" x14ac:dyDescent="0.25">
      <c r="A100" s="20">
        <v>71</v>
      </c>
      <c r="B100" s="17" t="s">
        <v>167</v>
      </c>
      <c r="C100" s="17">
        <v>5235020</v>
      </c>
      <c r="D100" s="34" t="s">
        <v>79</v>
      </c>
      <c r="E100" s="33" t="s">
        <v>76</v>
      </c>
      <c r="F100" s="20">
        <v>876</v>
      </c>
      <c r="G100" s="20" t="s">
        <v>46</v>
      </c>
      <c r="H100" s="17" t="s">
        <v>109</v>
      </c>
      <c r="I100" s="20">
        <v>36401000000</v>
      </c>
      <c r="J100" s="21" t="s">
        <v>118</v>
      </c>
      <c r="K100" s="31">
        <f>1280.4</f>
        <v>1280.4000000000001</v>
      </c>
      <c r="L100" s="48">
        <v>42278</v>
      </c>
      <c r="M100" s="28">
        <v>42705</v>
      </c>
      <c r="N100" s="21" t="s">
        <v>75</v>
      </c>
      <c r="O100" s="20" t="s">
        <v>77</v>
      </c>
    </row>
    <row r="101" spans="1:15" s="4" customFormat="1" ht="60" x14ac:dyDescent="0.25">
      <c r="A101" s="20">
        <v>72</v>
      </c>
      <c r="B101" s="17" t="s">
        <v>173</v>
      </c>
      <c r="C101" s="17">
        <v>7260000</v>
      </c>
      <c r="D101" s="34" t="s">
        <v>157</v>
      </c>
      <c r="E101" s="33" t="s">
        <v>76</v>
      </c>
      <c r="F101" s="20">
        <v>876</v>
      </c>
      <c r="G101" s="20" t="s">
        <v>46</v>
      </c>
      <c r="H101" s="17" t="s">
        <v>109</v>
      </c>
      <c r="I101" s="20">
        <v>36401000000</v>
      </c>
      <c r="J101" s="21" t="s">
        <v>118</v>
      </c>
      <c r="K101" s="31">
        <f>4813*1.18</f>
        <v>5679.34</v>
      </c>
      <c r="L101" s="48">
        <v>42278</v>
      </c>
      <c r="M101" s="28">
        <v>42461</v>
      </c>
      <c r="N101" s="21" t="s">
        <v>72</v>
      </c>
      <c r="O101" s="20" t="s">
        <v>73</v>
      </c>
    </row>
    <row r="102" spans="1:15" s="4" customFormat="1" x14ac:dyDescent="0.25">
      <c r="A102" s="57">
        <v>42309</v>
      </c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9"/>
    </row>
    <row r="103" spans="1:15" s="4" customFormat="1" ht="60" x14ac:dyDescent="0.25">
      <c r="A103" s="20">
        <v>73</v>
      </c>
      <c r="B103" s="17" t="s">
        <v>167</v>
      </c>
      <c r="C103" s="17">
        <v>5235020</v>
      </c>
      <c r="D103" s="34" t="s">
        <v>82</v>
      </c>
      <c r="E103" s="33" t="s">
        <v>76</v>
      </c>
      <c r="F103" s="20">
        <v>796</v>
      </c>
      <c r="G103" s="20" t="s">
        <v>39</v>
      </c>
      <c r="H103" s="17">
        <v>3</v>
      </c>
      <c r="I103" s="20">
        <v>36401000000</v>
      </c>
      <c r="J103" s="21" t="s">
        <v>118</v>
      </c>
      <c r="K103" s="31">
        <f>2241</f>
        <v>2241</v>
      </c>
      <c r="L103" s="48">
        <v>42309</v>
      </c>
      <c r="M103" s="28">
        <v>42339</v>
      </c>
      <c r="N103" s="21" t="s">
        <v>75</v>
      </c>
      <c r="O103" s="20" t="s">
        <v>77</v>
      </c>
    </row>
    <row r="104" spans="1:15" s="4" customFormat="1" ht="75" x14ac:dyDescent="0.25">
      <c r="A104" s="20">
        <v>74</v>
      </c>
      <c r="B104" s="21" t="s">
        <v>179</v>
      </c>
      <c r="C104" s="21">
        <v>6512020</v>
      </c>
      <c r="D104" s="21" t="s">
        <v>115</v>
      </c>
      <c r="E104" s="21" t="s">
        <v>124</v>
      </c>
      <c r="F104" s="21">
        <v>384</v>
      </c>
      <c r="G104" s="21" t="s">
        <v>117</v>
      </c>
      <c r="H104" s="26">
        <v>1600000</v>
      </c>
      <c r="I104" s="20">
        <v>36401000000</v>
      </c>
      <c r="J104" s="21" t="s">
        <v>118</v>
      </c>
      <c r="K104" s="27" t="s">
        <v>123</v>
      </c>
      <c r="L104" s="48">
        <v>42309</v>
      </c>
      <c r="M104" s="28">
        <v>42675</v>
      </c>
      <c r="N104" s="21" t="s">
        <v>159</v>
      </c>
      <c r="O104" s="21" t="s">
        <v>77</v>
      </c>
    </row>
    <row r="105" spans="1:15" s="4" customFormat="1" ht="75" x14ac:dyDescent="0.25">
      <c r="A105" s="20">
        <v>75</v>
      </c>
      <c r="B105" s="21" t="s">
        <v>179</v>
      </c>
      <c r="C105" s="21">
        <v>6512020</v>
      </c>
      <c r="D105" s="21" t="s">
        <v>115</v>
      </c>
      <c r="E105" s="21" t="s">
        <v>124</v>
      </c>
      <c r="F105" s="21">
        <v>384</v>
      </c>
      <c r="G105" s="21" t="s">
        <v>117</v>
      </c>
      <c r="H105" s="26">
        <v>1000000</v>
      </c>
      <c r="I105" s="20">
        <v>36401000000</v>
      </c>
      <c r="J105" s="21" t="s">
        <v>118</v>
      </c>
      <c r="K105" s="27" t="s">
        <v>123</v>
      </c>
      <c r="L105" s="48">
        <v>42309</v>
      </c>
      <c r="M105" s="28">
        <v>42675</v>
      </c>
      <c r="N105" s="21" t="s">
        <v>159</v>
      </c>
      <c r="O105" s="21" t="s">
        <v>77</v>
      </c>
    </row>
    <row r="110" spans="1:15" x14ac:dyDescent="0.25">
      <c r="B110" s="41" t="s">
        <v>151</v>
      </c>
      <c r="C110" s="41"/>
      <c r="D110" s="41"/>
    </row>
    <row r="111" spans="1:15" x14ac:dyDescent="0.25">
      <c r="D111" s="42"/>
      <c r="E111" s="42"/>
      <c r="F111" s="42"/>
      <c r="G111" s="42"/>
      <c r="H111" s="42"/>
      <c r="I111" s="42"/>
      <c r="J111" s="42"/>
      <c r="K111" s="42"/>
      <c r="L111" s="49"/>
      <c r="M111"/>
    </row>
  </sheetData>
  <customSheetViews>
    <customSheetView guid="{D5B4A071-9430-4BA5-A770-68DFFD853119}" scale="85" fitToPage="1" hiddenRows="1">
      <pane xSplit="1" ySplit="19" topLeftCell="B23" activePane="bottomRight" state="frozen"/>
      <selection pane="bottomRight" activeCell="F32" sqref="F32"/>
      <pageMargins left="0.31496062992125984" right="0.31496062992125984" top="0.35433070866141736" bottom="0.35433070866141736" header="0.31496062992125984" footer="0.31496062992125984"/>
      <pageSetup paperSize="256" scale="57" fitToHeight="0" orientation="landscape" r:id="rId1"/>
    </customSheetView>
    <customSheetView guid="{2491A07A-E2FE-4F26-90A4-8AC67869991B}" scale="85" showPageBreaks="1" fitToPage="1">
      <pane xSplit="1" ySplit="19" topLeftCell="B32" activePane="bottomRight" state="frozen"/>
      <selection pane="bottomRight" activeCell="C39" sqref="C39"/>
      <pageMargins left="0.31496062992125984" right="0.31496062992125984" top="0.35433070866141736" bottom="0.35433070866141736" header="0.31496062992125984" footer="0.31496062992125984"/>
      <pageSetup paperSize="256" scale="57" fitToHeight="0" orientation="landscape" r:id="rId2"/>
    </customSheetView>
    <customSheetView guid="{15EC13F9-3954-402E-9615-170F49599A0D}" scale="85" fitToPage="1">
      <pane xSplit="1" ySplit="19" topLeftCell="B47" activePane="bottomRight" state="frozen"/>
      <selection pane="bottomRight" activeCell="E14" sqref="E14:K14"/>
      <pageMargins left="0.31496062992125984" right="0.31496062992125984" top="0.35433070866141736" bottom="0.35433070866141736" header="0.31496062992125984" footer="0.31496062992125984"/>
      <pageSetup paperSize="256" scale="57" fitToHeight="0" orientation="landscape" r:id="rId3"/>
    </customSheetView>
    <customSheetView guid="{CC220046-4AA5-4296-A4F1-13F7CCCA15D7}" scale="85" fitToPage="1">
      <pane xSplit="1" ySplit="31" topLeftCell="B55" activePane="bottomRight" state="frozen"/>
      <selection pane="bottomRight" activeCell="D18" sqref="D18:D19"/>
      <pageMargins left="0.31496062992125984" right="0.31496062992125984" top="0.35433070866141736" bottom="0.35433070866141736" header="0.31496062992125984" footer="0.31496062992125984"/>
      <pageSetup paperSize="256" scale="57" fitToHeight="0" orientation="landscape" r:id="rId4"/>
    </customSheetView>
    <customSheetView guid="{39517F40-2AF1-49F4-96F9-2468F10D4E45}" scale="85" showPageBreaks="1" fitToPage="1" hiddenRows="1">
      <pane xSplit="1" ySplit="19" topLeftCell="B95" activePane="bottomRight" state="frozen"/>
      <selection pane="bottomRight" activeCell="C98" sqref="C98"/>
      <pageMargins left="0.31496062992125984" right="0.31496062992125984" top="0.35433070866141736" bottom="0.35433070866141736" header="0.31496062992125984" footer="0.31496062992125984"/>
      <pageSetup paperSize="9" scale="57" fitToHeight="0" orientation="landscape" r:id="rId5"/>
    </customSheetView>
  </customSheetViews>
  <mergeCells count="42">
    <mergeCell ref="E14:K14"/>
    <mergeCell ref="E15:K15"/>
    <mergeCell ref="E33:E37"/>
    <mergeCell ref="F18:G18"/>
    <mergeCell ref="H18:H19"/>
    <mergeCell ref="I18:J18"/>
    <mergeCell ref="K18:K19"/>
    <mergeCell ref="A20:O20"/>
    <mergeCell ref="A23:O23"/>
    <mergeCell ref="A28:O28"/>
    <mergeCell ref="O17:O18"/>
    <mergeCell ref="N17:N19"/>
    <mergeCell ref="E13:K13"/>
    <mergeCell ref="B9:D9"/>
    <mergeCell ref="B10:D10"/>
    <mergeCell ref="B11:D11"/>
    <mergeCell ref="B12:D12"/>
    <mergeCell ref="B13:D13"/>
    <mergeCell ref="A5:O5"/>
    <mergeCell ref="A6:O6"/>
    <mergeCell ref="A7:O7"/>
    <mergeCell ref="A17:A19"/>
    <mergeCell ref="B17:B19"/>
    <mergeCell ref="C17:C19"/>
    <mergeCell ref="D18:D19"/>
    <mergeCell ref="E18:E19"/>
    <mergeCell ref="D17:M17"/>
    <mergeCell ref="L18:M18"/>
    <mergeCell ref="B14:D14"/>
    <mergeCell ref="B15:D15"/>
    <mergeCell ref="E9:K9"/>
    <mergeCell ref="E10:K10"/>
    <mergeCell ref="E11:K11"/>
    <mergeCell ref="E12:K12"/>
    <mergeCell ref="A90:O90"/>
    <mergeCell ref="A99:O99"/>
    <mergeCell ref="A102:O102"/>
    <mergeCell ref="A43:O43"/>
    <mergeCell ref="A58:O58"/>
    <mergeCell ref="A72:O72"/>
    <mergeCell ref="A78:O78"/>
    <mergeCell ref="A87:O87"/>
  </mergeCells>
  <hyperlinks>
    <hyperlink ref="E12" r:id="rId6"/>
  </hyperlinks>
  <pageMargins left="0.31496062992125984" right="0.31496062992125984" top="0.35433070866141736" bottom="0.35433070866141736" header="0.31496062992125984" footer="0.31496062992125984"/>
  <pageSetup paperSize="256" scale="57" fitToHeight="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D5B4A071-9430-4BA5-A770-68DFFD853119}">
      <pageMargins left="0.7" right="0.7" top="0.75" bottom="0.75" header="0.3" footer="0.3"/>
    </customSheetView>
    <customSheetView guid="{2491A07A-E2FE-4F26-90A4-8AC67869991B}">
      <pageMargins left="0.7" right="0.7" top="0.75" bottom="0.75" header="0.3" footer="0.3"/>
    </customSheetView>
    <customSheetView guid="{15EC13F9-3954-402E-9615-170F49599A0D}">
      <pageMargins left="0.7" right="0.7" top="0.75" bottom="0.75" header="0.3" footer="0.3"/>
    </customSheetView>
    <customSheetView guid="{CC220046-4AA5-4296-A4F1-13F7CCCA15D7}">
      <pageMargins left="0.7" right="0.7" top="0.75" bottom="0.75" header="0.3" footer="0.3"/>
    </customSheetView>
    <customSheetView guid="{39517F40-2AF1-49F4-96F9-2468F10D4E45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D5B4A071-9430-4BA5-A770-68DFFD853119}">
      <pageMargins left="0.7" right="0.7" top="0.75" bottom="0.75" header="0.3" footer="0.3"/>
    </customSheetView>
    <customSheetView guid="{2491A07A-E2FE-4F26-90A4-8AC67869991B}">
      <pageMargins left="0.7" right="0.7" top="0.75" bottom="0.75" header="0.3" footer="0.3"/>
    </customSheetView>
    <customSheetView guid="{15EC13F9-3954-402E-9615-170F49599A0D}">
      <pageMargins left="0.7" right="0.7" top="0.75" bottom="0.75" header="0.3" footer="0.3"/>
    </customSheetView>
    <customSheetView guid="{CC220046-4AA5-4296-A4F1-13F7CCCA15D7}">
      <pageMargins left="0.7" right="0.7" top="0.75" bottom="0.75" header="0.3" footer="0.3"/>
    </customSheetView>
    <customSheetView guid="{39517F40-2AF1-49F4-96F9-2468F10D4E45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Самараэнерго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Онищенко</dc:creator>
  <cp:lastModifiedBy>Комарова Светлана</cp:lastModifiedBy>
  <cp:lastPrinted>2014-12-31T04:09:17Z</cp:lastPrinted>
  <dcterms:created xsi:type="dcterms:W3CDTF">2014-10-17T10:17:36Z</dcterms:created>
  <dcterms:modified xsi:type="dcterms:W3CDTF">2014-12-31T06:35:47Z</dcterms:modified>
</cp:coreProperties>
</file>